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935" yWindow="90" windowWidth="16380" windowHeight="8190" tabRatio="427" activeTab="2"/>
  </bookViews>
  <sheets>
    <sheet name="Исходные данные 2026" sheetId="1" r:id="rId1"/>
    <sheet name="Расчет КРП" sheetId="2" r:id="rId2"/>
    <sheet name="Расчет дотации 2026" sheetId="4" r:id="rId3"/>
  </sheets>
  <definedNames>
    <definedName name="___xlfn_COUNTIFS">#N/A</definedName>
    <definedName name="__xlfn_COUNTIFS">NA()</definedName>
    <definedName name="_xlnm._FilterDatabase" localSheetId="2" hidden="1">'Расчет дотации 2026'!#REF!</definedName>
    <definedName name="Excel_BuiltIn__FilterDatabase" localSheetId="2">'Расчет дотации 2026'!#REF!</definedName>
    <definedName name="Excel_BuiltIn_Print_Titles" localSheetId="0">'Исходные данные 2026'!$A$6:$HY$9</definedName>
    <definedName name="Z_287B6B75_F102_4A35_99B4_72102AA4A344__wvu_FilterData" localSheetId="0">'Исходные данные 2026'!$B$9:$G$18</definedName>
    <definedName name="Z_287B6B75_F102_4A35_99B4_72102AA4A344__wvu_FilterData" localSheetId="2">'Расчет дотации 2026'!#REF!</definedName>
    <definedName name="Z_287B6B75_F102_4A35_99B4_72102AA4A344__wvu_PrintArea" localSheetId="0">'Исходные данные 2026'!$B$1:$G$18</definedName>
    <definedName name="Z_287B6B75_F102_4A35_99B4_72102AA4A344__wvu_PrintArea" localSheetId="2">'Расчет дотации 2026'!#REF!</definedName>
    <definedName name="Z_287B6B75_F102_4A35_99B4_72102AA4A344__wvu_PrintTitles" localSheetId="0">'Исходные данные 2026'!$A$6:$HY$9</definedName>
    <definedName name="Z_287B6B75_F102_4A35_99B4_72102AA4A344__wvu_PrintTitles" localSheetId="2">'Расчет дотации 2026'!$A:$A</definedName>
    <definedName name="_xlnm.Print_Titles" localSheetId="0">'Исходные данные 2026'!$6:$9</definedName>
    <definedName name="_xlnm.Print_Titles" localSheetId="2">'Расчет дотации 2026'!$A:$A</definedName>
    <definedName name="_xlnm.Print_Area" localSheetId="0">'Исходные данные 2026'!$A$1:$H$20</definedName>
    <definedName name="_xlnm.Print_Area" localSheetId="2">'Расчет дотации 2026'!#REF!</definedName>
  </definedNames>
  <calcPr calcId="124519"/>
</workbook>
</file>

<file path=xl/calcChain.xml><?xml version="1.0" encoding="utf-8"?>
<calcChain xmlns="http://schemas.openxmlformats.org/spreadsheetml/2006/main">
  <c r="D13" i="2"/>
  <c r="D12"/>
  <c r="D11"/>
  <c r="D10"/>
  <c r="D9"/>
  <c r="D7"/>
  <c r="F6"/>
  <c r="D8"/>
  <c r="D14"/>
  <c r="H12" i="1"/>
  <c r="H13"/>
  <c r="H14"/>
  <c r="H15"/>
  <c r="H16"/>
  <c r="H17"/>
  <c r="H18"/>
  <c r="H11"/>
  <c r="E19"/>
  <c r="A10" i="4"/>
  <c r="A11"/>
  <c r="A12"/>
  <c r="A13"/>
  <c r="A14"/>
  <c r="A15"/>
  <c r="A16"/>
  <c r="A9"/>
  <c r="B8" i="2"/>
  <c r="B9"/>
  <c r="B10"/>
  <c r="B11"/>
  <c r="B12"/>
  <c r="B13"/>
  <c r="B14"/>
  <c r="B7"/>
  <c r="H19" i="1" l="1"/>
  <c r="E7" i="2" s="1"/>
  <c r="C13"/>
  <c r="C9"/>
  <c r="C10"/>
  <c r="C7"/>
  <c r="C8"/>
  <c r="C14"/>
  <c r="C11"/>
  <c r="C12"/>
  <c r="D19" i="1"/>
  <c r="C19"/>
  <c r="H10" i="4"/>
  <c r="H11"/>
  <c r="H12"/>
  <c r="H13"/>
  <c r="H14"/>
  <c r="H15"/>
  <c r="H16"/>
  <c r="G10"/>
  <c r="G11"/>
  <c r="G12"/>
  <c r="G13"/>
  <c r="G14"/>
  <c r="G15"/>
  <c r="G16"/>
  <c r="E14" i="2" l="1"/>
  <c r="F14" s="1"/>
  <c r="I16" i="4" s="1"/>
  <c r="E10" i="2"/>
  <c r="F10" s="1"/>
  <c r="I12" i="4" s="1"/>
  <c r="E11" i="2"/>
  <c r="F11" s="1"/>
  <c r="I13" i="4" s="1"/>
  <c r="E12" i="2"/>
  <c r="F12" s="1"/>
  <c r="I14" i="4" s="1"/>
  <c r="E8" i="2"/>
  <c r="F8" s="1"/>
  <c r="I10" i="4" s="1"/>
  <c r="E13" i="2"/>
  <c r="F13" s="1"/>
  <c r="I15" i="4" s="1"/>
  <c r="E9" i="2"/>
  <c r="F9" s="1"/>
  <c r="I11" i="4" s="1"/>
  <c r="F7" i="2"/>
  <c r="I9" i="4" s="1"/>
  <c r="D17" l="1"/>
  <c r="E17"/>
  <c r="B7"/>
  <c r="C7" s="1"/>
  <c r="D7" s="1"/>
  <c r="E7" s="1"/>
  <c r="F7" s="1"/>
  <c r="G7" s="1"/>
  <c r="H7" s="1"/>
  <c r="I7" s="1"/>
  <c r="J7" s="1"/>
  <c r="K7" s="1"/>
  <c r="G9"/>
  <c r="G17" s="1"/>
  <c r="H9"/>
  <c r="B6" i="2"/>
  <c r="C6" s="1"/>
  <c r="D6" s="1"/>
  <c r="H17" i="4" l="1"/>
  <c r="L7"/>
  <c r="F17"/>
  <c r="E6" i="2"/>
  <c r="M7" i="4" l="1"/>
  <c r="N7" s="1"/>
  <c r="O7" s="1"/>
  <c r="P7" s="1"/>
  <c r="Q7" s="1"/>
  <c r="R7" s="1"/>
  <c r="S7" s="1"/>
  <c r="J17"/>
  <c r="K9"/>
  <c r="K14"/>
  <c r="K12"/>
  <c r="K15"/>
  <c r="K11"/>
  <c r="K10"/>
  <c r="K16"/>
  <c r="K13"/>
  <c r="L11"/>
  <c r="L15"/>
  <c r="L13"/>
  <c r="L10"/>
  <c r="L12"/>
  <c r="L14"/>
  <c r="L16"/>
  <c r="L9"/>
  <c r="L17" l="1"/>
  <c r="T7"/>
  <c r="U7" s="1"/>
  <c r="V7" s="1"/>
  <c r="W7" s="1"/>
  <c r="X7" s="1"/>
  <c r="Y7" s="1"/>
  <c r="M10"/>
  <c r="M16"/>
  <c r="M14"/>
  <c r="M13"/>
  <c r="M11"/>
  <c r="M9"/>
  <c r="M12"/>
  <c r="M15"/>
  <c r="N17" l="1"/>
  <c r="Z7"/>
  <c r="AA7" s="1"/>
  <c r="AB7" s="1"/>
  <c r="AC7" s="1"/>
  <c r="AD7" s="1"/>
  <c r="AE7" s="1"/>
  <c r="AF7" l="1"/>
  <c r="AG7" s="1"/>
  <c r="AH7" s="1"/>
  <c r="AI7" s="1"/>
  <c r="AJ7" s="1"/>
  <c r="AK7" s="1"/>
  <c r="O13"/>
  <c r="P13" s="1"/>
  <c r="O12"/>
  <c r="P12" s="1"/>
  <c r="O16"/>
  <c r="P16" s="1"/>
  <c r="O11"/>
  <c r="P11" s="1"/>
  <c r="O15"/>
  <c r="P15" s="1"/>
  <c r="O14"/>
  <c r="P14" s="1"/>
  <c r="O10"/>
  <c r="P10" s="1"/>
  <c r="O9"/>
  <c r="P9" s="1"/>
  <c r="P17" l="1"/>
  <c r="AL7"/>
  <c r="AM7" s="1"/>
  <c r="AN7" s="1"/>
  <c r="AO7" s="1"/>
  <c r="AP7" s="1"/>
  <c r="AQ7" s="1"/>
  <c r="AR7" l="1"/>
  <c r="AS7" s="1"/>
  <c r="AT7" s="1"/>
  <c r="AU7" s="1"/>
  <c r="AV7" s="1"/>
  <c r="AW7" s="1"/>
  <c r="Q11"/>
  <c r="Q15"/>
  <c r="Q14"/>
  <c r="Q13"/>
  <c r="Q12"/>
  <c r="Q16"/>
  <c r="Q9"/>
  <c r="Q10"/>
  <c r="Q17" l="1"/>
  <c r="AX7"/>
  <c r="AY7" s="1"/>
  <c r="AZ7" s="1"/>
  <c r="BA7" s="1"/>
  <c r="BB7" s="1"/>
  <c r="BC7" s="1"/>
  <c r="T9"/>
  <c r="T12"/>
  <c r="T11"/>
  <c r="T16"/>
  <c r="T15"/>
  <c r="T10"/>
  <c r="T13"/>
  <c r="T14"/>
  <c r="S17" l="1"/>
  <c r="BD7"/>
  <c r="BE7" s="1"/>
  <c r="BF7" s="1"/>
  <c r="BG7" s="1"/>
  <c r="BH7" s="1"/>
  <c r="BI7" s="1"/>
  <c r="R17"/>
  <c r="BJ7" l="1"/>
  <c r="BK7" s="1"/>
  <c r="BL7" s="1"/>
  <c r="BM7" s="1"/>
  <c r="BN7" s="1"/>
  <c r="BO7" s="1"/>
  <c r="BP7" l="1"/>
  <c r="BQ7" s="1"/>
  <c r="BR7" s="1"/>
  <c r="BS7" s="1"/>
  <c r="U15"/>
  <c r="V15" s="1"/>
  <c r="U13"/>
  <c r="V13" s="1"/>
  <c r="U11"/>
  <c r="V11" s="1"/>
  <c r="U14"/>
  <c r="V14" s="1"/>
  <c r="U12"/>
  <c r="V12" s="1"/>
  <c r="U16"/>
  <c r="V16" s="1"/>
  <c r="U10"/>
  <c r="V10" s="1"/>
  <c r="U9"/>
  <c r="V9" l="1"/>
  <c r="V17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6"/>
  <c r="W14"/>
  <c r="W12"/>
  <c r="W15"/>
  <c r="W13"/>
  <c r="W11"/>
  <c r="W9"/>
  <c r="W10"/>
  <c r="W17" l="1"/>
  <c r="Z9"/>
  <c r="Z13"/>
  <c r="Z12"/>
  <c r="Z11"/>
  <c r="Z16"/>
  <c r="Z10"/>
  <c r="Z15"/>
  <c r="Z14"/>
  <c r="Y17" l="1"/>
  <c r="X17"/>
  <c r="AA9" l="1"/>
  <c r="AB9" s="1"/>
  <c r="AA15"/>
  <c r="AB15" s="1"/>
  <c r="AA10"/>
  <c r="AB10" s="1"/>
  <c r="AA12"/>
  <c r="AB12" s="1"/>
  <c r="AA13"/>
  <c r="AB13" s="1"/>
  <c r="AA16"/>
  <c r="AB16" s="1"/>
  <c r="AA11"/>
  <c r="AB11" s="1"/>
  <c r="AA14"/>
  <c r="AB14" s="1"/>
  <c r="AB17" l="1"/>
  <c r="AC14" l="1"/>
  <c r="AC12"/>
  <c r="AC15"/>
  <c r="AC9"/>
  <c r="AC13"/>
  <c r="AC10"/>
  <c r="AC16"/>
  <c r="AC11"/>
  <c r="AC17" l="1"/>
  <c r="AF16"/>
  <c r="AF9"/>
  <c r="AF12"/>
  <c r="AF15"/>
  <c r="AF10"/>
  <c r="AF11"/>
  <c r="AF13"/>
  <c r="AF14"/>
  <c r="AE17" l="1"/>
  <c r="AD17"/>
  <c r="AG10" l="1"/>
  <c r="AH10" s="1"/>
  <c r="AG12"/>
  <c r="AH12" s="1"/>
  <c r="AG16"/>
  <c r="AH16" s="1"/>
  <c r="AG13"/>
  <c r="AH13" s="1"/>
  <c r="AG14"/>
  <c r="AH14" s="1"/>
  <c r="AG11"/>
  <c r="AH11" s="1"/>
  <c r="AG9"/>
  <c r="AH9" s="1"/>
  <c r="AG15"/>
  <c r="AH15" s="1"/>
  <c r="AH17" l="1"/>
  <c r="AI14" l="1"/>
  <c r="AI15"/>
  <c r="AI16"/>
  <c r="AI13"/>
  <c r="AI10"/>
  <c r="AI9"/>
  <c r="AI11"/>
  <c r="AI12"/>
  <c r="AI17" l="1"/>
  <c r="AL12"/>
  <c r="AL13"/>
  <c r="AL14"/>
  <c r="AL15"/>
  <c r="AL10"/>
  <c r="AL16"/>
  <c r="AL11"/>
  <c r="AL9"/>
  <c r="AK17" l="1"/>
  <c r="AJ17"/>
  <c r="AM11" l="1"/>
  <c r="AN11" s="1"/>
  <c r="AM15"/>
  <c r="AN15" s="1"/>
  <c r="AM13"/>
  <c r="AN13" s="1"/>
  <c r="AM12"/>
  <c r="AN12" s="1"/>
  <c r="AM10"/>
  <c r="AN10" s="1"/>
  <c r="AM9"/>
  <c r="AN9" s="1"/>
  <c r="AM14"/>
  <c r="AN14" s="1"/>
  <c r="AM16"/>
  <c r="AN16" s="1"/>
  <c r="AN17" l="1"/>
  <c r="AO16" l="1"/>
  <c r="AO9"/>
  <c r="AO15"/>
  <c r="AO14"/>
  <c r="AO11"/>
  <c r="AO10"/>
  <c r="AO13"/>
  <c r="AO12"/>
  <c r="AO17" l="1"/>
  <c r="AR13"/>
  <c r="AR16"/>
  <c r="AR9"/>
  <c r="AR15"/>
  <c r="AR11"/>
  <c r="AR12"/>
  <c r="AR10"/>
  <c r="AR14"/>
  <c r="AQ17" l="1"/>
  <c r="AP17"/>
  <c r="AS10" l="1"/>
  <c r="AT10" s="1"/>
  <c r="AS16"/>
  <c r="AT16" s="1"/>
  <c r="AS15"/>
  <c r="AT15" s="1"/>
  <c r="AS14"/>
  <c r="AT14" s="1"/>
  <c r="AS12"/>
  <c r="AT12" s="1"/>
  <c r="AS9"/>
  <c r="AT9" s="1"/>
  <c r="AS11"/>
  <c r="AT11" s="1"/>
  <c r="AS13"/>
  <c r="AT13" s="1"/>
  <c r="AT17" l="1"/>
  <c r="AU10" l="1"/>
  <c r="AU14"/>
  <c r="AU16"/>
  <c r="AU15"/>
  <c r="AU12"/>
  <c r="AU11"/>
  <c r="AU13"/>
  <c r="AU9"/>
  <c r="AU17" l="1"/>
  <c r="AX13"/>
  <c r="AX12"/>
  <c r="AX14"/>
  <c r="AX11"/>
  <c r="AX16"/>
  <c r="AX10"/>
  <c r="AX9"/>
  <c r="AX15"/>
  <c r="AW17" l="1"/>
  <c r="AV17"/>
  <c r="AY14" l="1"/>
  <c r="AZ14" s="1"/>
  <c r="AY16"/>
  <c r="AZ16" s="1"/>
  <c r="AY13"/>
  <c r="AZ13" s="1"/>
  <c r="AY12"/>
  <c r="AZ12" s="1"/>
  <c r="AY10"/>
  <c r="AZ10" s="1"/>
  <c r="AY11"/>
  <c r="AZ11" s="1"/>
  <c r="AY9"/>
  <c r="AZ9" s="1"/>
  <c r="AY15"/>
  <c r="AZ15" s="1"/>
  <c r="AZ17" l="1"/>
  <c r="BA10" l="1"/>
  <c r="BA12"/>
  <c r="BA11"/>
  <c r="BA9"/>
  <c r="BA14"/>
  <c r="BA13"/>
  <c r="BA15"/>
  <c r="BA16"/>
  <c r="BA17" l="1"/>
  <c r="BD9"/>
  <c r="BD15"/>
  <c r="BD10"/>
  <c r="BD14"/>
  <c r="BD11"/>
  <c r="BD16"/>
  <c r="BD13"/>
  <c r="BD12"/>
  <c r="BC17" l="1"/>
  <c r="BB17"/>
  <c r="BE14" l="1"/>
  <c r="BF14" s="1"/>
  <c r="BE11"/>
  <c r="BF11" s="1"/>
  <c r="BE13"/>
  <c r="BF13" s="1"/>
  <c r="BE12"/>
  <c r="BF12" s="1"/>
  <c r="BE10"/>
  <c r="BF10" s="1"/>
  <c r="BE15"/>
  <c r="BF15" s="1"/>
  <c r="BE9"/>
  <c r="BF9" s="1"/>
  <c r="BE16"/>
  <c r="BF16" s="1"/>
  <c r="BF17" l="1"/>
  <c r="BG10" l="1"/>
  <c r="BG14"/>
  <c r="BG12"/>
  <c r="BG13"/>
  <c r="BG9"/>
  <c r="BG11"/>
  <c r="BG15"/>
  <c r="BG16"/>
  <c r="BG17" l="1"/>
  <c r="BJ14"/>
  <c r="BJ16"/>
  <c r="BJ9"/>
  <c r="BJ10"/>
  <c r="BJ15"/>
  <c r="BJ12"/>
  <c r="BJ11"/>
  <c r="BJ13"/>
  <c r="BI17" l="1"/>
  <c r="BH17"/>
  <c r="BK14" l="1"/>
  <c r="BL14" s="1"/>
  <c r="BK13"/>
  <c r="BL13" s="1"/>
  <c r="BK11"/>
  <c r="BL11" s="1"/>
  <c r="BK12"/>
  <c r="BL12" s="1"/>
  <c r="BK9"/>
  <c r="BL9" s="1"/>
  <c r="BK10"/>
  <c r="BL10" s="1"/>
  <c r="BK15"/>
  <c r="BL15" s="1"/>
  <c r="BK16"/>
  <c r="BL16" s="1"/>
  <c r="BL17" l="1"/>
  <c r="BM9" l="1"/>
  <c r="BM12"/>
  <c r="BM13"/>
  <c r="BM10"/>
  <c r="BM11"/>
  <c r="BM16"/>
  <c r="BM15"/>
  <c r="BM14"/>
  <c r="BM17" l="1"/>
  <c r="BP16"/>
  <c r="BP13"/>
  <c r="BP10"/>
  <c r="BP9"/>
  <c r="BP15"/>
  <c r="BP14"/>
  <c r="BP11"/>
  <c r="BP12"/>
  <c r="BO17" l="1"/>
  <c r="BN17"/>
  <c r="BQ13" l="1"/>
  <c r="BR13" s="1"/>
  <c r="BQ12"/>
  <c r="BR12" s="1"/>
  <c r="BQ15"/>
  <c r="BR15" s="1"/>
  <c r="BQ14"/>
  <c r="BR14" s="1"/>
  <c r="BQ10"/>
  <c r="BR10" s="1"/>
  <c r="BQ9"/>
  <c r="BR9" s="1"/>
  <c r="BQ11"/>
  <c r="BR11" s="1"/>
  <c r="BQ16"/>
  <c r="BR16" s="1"/>
  <c r="BR17" l="1"/>
  <c r="BS13" l="1"/>
  <c r="BS16"/>
  <c r="BS12"/>
  <c r="BS11"/>
  <c r="BS15"/>
  <c r="BS10"/>
  <c r="BS9"/>
  <c r="BS14"/>
  <c r="BS17" l="1"/>
  <c r="BT17" s="1"/>
  <c r="BV12"/>
  <c r="BV13"/>
  <c r="BV10"/>
  <c r="BV9"/>
  <c r="BV11"/>
  <c r="BV14"/>
  <c r="BV15"/>
  <c r="BV16"/>
  <c r="BU17" l="1"/>
  <c r="BW15" l="1"/>
  <c r="BX15" s="1"/>
  <c r="BW16"/>
  <c r="BX16" s="1"/>
  <c r="BW12"/>
  <c r="BX12" s="1"/>
  <c r="BW13"/>
  <c r="BX13" s="1"/>
  <c r="BW10"/>
  <c r="BX10" s="1"/>
  <c r="BW9"/>
  <c r="BX9" s="1"/>
  <c r="BW14"/>
  <c r="BX14" s="1"/>
  <c r="BW11"/>
  <c r="BX11" s="1"/>
  <c r="BX17" l="1"/>
  <c r="BY9" l="1"/>
  <c r="BY15"/>
  <c r="BY12"/>
  <c r="BY16"/>
  <c r="BY10"/>
  <c r="BY13"/>
  <c r="BY14"/>
  <c r="BY11"/>
  <c r="CB11" s="1"/>
  <c r="CB14" l="1"/>
  <c r="CB13"/>
  <c r="CB16"/>
  <c r="CB15"/>
  <c r="CB10"/>
  <c r="CB12"/>
  <c r="CB9"/>
  <c r="BY17"/>
  <c r="BZ17" s="1"/>
  <c r="CA17" l="1"/>
  <c r="CC12" l="1"/>
  <c r="CD12" s="1"/>
  <c r="CC16"/>
  <c r="CD16" s="1"/>
  <c r="CC9"/>
  <c r="CD9" s="1"/>
  <c r="CC10"/>
  <c r="CD10" s="1"/>
  <c r="CC14"/>
  <c r="CD14" s="1"/>
  <c r="CC13"/>
  <c r="CD13" s="1"/>
  <c r="CC15"/>
  <c r="CD15" s="1"/>
  <c r="CC11"/>
  <c r="CD11" s="1"/>
  <c r="CD17" l="1"/>
  <c r="CE9" s="1"/>
  <c r="CH9" l="1"/>
  <c r="CE10"/>
  <c r="CE12"/>
  <c r="CE16"/>
  <c r="CE15"/>
  <c r="CE14"/>
  <c r="CE13"/>
  <c r="CE11"/>
  <c r="CH12" l="1"/>
  <c r="CH15"/>
  <c r="CH11"/>
  <c r="CH14"/>
  <c r="CH13"/>
  <c r="CH16"/>
  <c r="CH10"/>
  <c r="CE17"/>
  <c r="CF17" s="1"/>
  <c r="CG17" l="1"/>
  <c r="CI14" l="1"/>
  <c r="CJ14" s="1"/>
  <c r="CI15"/>
  <c r="CJ15" s="1"/>
  <c r="CI10"/>
  <c r="CJ10" s="1"/>
  <c r="CI16"/>
  <c r="CJ16" s="1"/>
  <c r="CI9"/>
  <c r="CJ9" s="1"/>
  <c r="CI13"/>
  <c r="CJ13" s="1"/>
  <c r="CI12"/>
  <c r="CJ12" s="1"/>
  <c r="CI11"/>
  <c r="CJ11" s="1"/>
  <c r="CJ17" l="1"/>
  <c r="CK9" s="1"/>
  <c r="CN9" s="1"/>
  <c r="CK16" l="1"/>
  <c r="CN16" s="1"/>
  <c r="CK14"/>
  <c r="CN14" s="1"/>
  <c r="CK15"/>
  <c r="CN15" s="1"/>
  <c r="CK11"/>
  <c r="CK10"/>
  <c r="CN10" s="1"/>
  <c r="CK13"/>
  <c r="CN13" s="1"/>
  <c r="CK12"/>
  <c r="CN12" s="1"/>
  <c r="CN11"/>
  <c r="CK17" l="1"/>
  <c r="CL17" s="1"/>
  <c r="CM17"/>
  <c r="CO15" l="1"/>
  <c r="CP15" s="1"/>
  <c r="CO10"/>
  <c r="CP10" s="1"/>
  <c r="CO13"/>
  <c r="CP13" s="1"/>
  <c r="CO9"/>
  <c r="CP9" s="1"/>
  <c r="CO16"/>
  <c r="CP16" s="1"/>
  <c r="CO12"/>
  <c r="CP12" s="1"/>
  <c r="CO11"/>
  <c r="CP11" s="1"/>
  <c r="CO14"/>
  <c r="CP14" s="1"/>
  <c r="CP17" l="1"/>
  <c r="CQ9" s="1"/>
  <c r="CQ13" l="1"/>
  <c r="CT13" s="1"/>
  <c r="CQ12"/>
  <c r="CT12" s="1"/>
  <c r="CQ15"/>
  <c r="CT15" s="1"/>
  <c r="CQ11"/>
  <c r="CT11" s="1"/>
  <c r="CQ14"/>
  <c r="CT14" s="1"/>
  <c r="CQ16"/>
  <c r="CT16" s="1"/>
  <c r="CQ10"/>
  <c r="CT10" s="1"/>
  <c r="CT9"/>
  <c r="CQ17" l="1"/>
  <c r="CR17" s="1"/>
  <c r="CS17"/>
  <c r="CU9" l="1"/>
  <c r="CV9" s="1"/>
  <c r="CU16"/>
  <c r="CV16" s="1"/>
  <c r="CU11"/>
  <c r="CV11" s="1"/>
  <c r="CU15"/>
  <c r="CV15" s="1"/>
  <c r="CU13"/>
  <c r="CV13" s="1"/>
  <c r="CU14"/>
  <c r="CV14" s="1"/>
  <c r="CU12"/>
  <c r="CV12" s="1"/>
  <c r="CU10"/>
  <c r="CV10" s="1"/>
  <c r="CV17" l="1"/>
  <c r="CW9" s="1"/>
  <c r="CZ9" s="1"/>
  <c r="CW15" l="1"/>
  <c r="CZ15" s="1"/>
  <c r="CW13"/>
  <c r="CZ13" s="1"/>
  <c r="CW11"/>
  <c r="CZ11" s="1"/>
  <c r="CW14"/>
  <c r="CZ14" s="1"/>
  <c r="CW16"/>
  <c r="CZ16" s="1"/>
  <c r="CW10"/>
  <c r="CZ10" s="1"/>
  <c r="CW12"/>
  <c r="CZ12" s="1"/>
  <c r="CW17" l="1"/>
  <c r="CX17" s="1"/>
  <c r="CY17"/>
  <c r="DA10" l="1"/>
  <c r="DB10" s="1"/>
  <c r="DA13"/>
  <c r="DB13" s="1"/>
  <c r="DA14"/>
  <c r="DB14" s="1"/>
  <c r="DA16"/>
  <c r="DB16" s="1"/>
  <c r="DA9"/>
  <c r="DB9" s="1"/>
  <c r="DA15"/>
  <c r="DB15" s="1"/>
  <c r="DA12"/>
  <c r="DB12" s="1"/>
  <c r="DA11"/>
  <c r="DB11" s="1"/>
  <c r="DB17" l="1"/>
  <c r="DC12" s="1"/>
  <c r="DF12" l="1"/>
  <c r="DC11"/>
  <c r="DC14"/>
  <c r="DC9"/>
  <c r="DC15"/>
  <c r="DC13"/>
  <c r="DC16"/>
  <c r="DC10"/>
  <c r="DF9" l="1"/>
  <c r="DF10"/>
  <c r="DF11"/>
  <c r="DF16"/>
  <c r="DF13"/>
  <c r="DF15"/>
  <c r="DF14"/>
  <c r="DC17"/>
  <c r="DD17" s="1"/>
  <c r="DE17" l="1"/>
  <c r="DG12" l="1"/>
  <c r="DH12" s="1"/>
  <c r="DG16"/>
  <c r="DH16" s="1"/>
  <c r="DG13"/>
  <c r="DH13" s="1"/>
  <c r="DG14"/>
  <c r="DH14" s="1"/>
  <c r="DG15"/>
  <c r="DH15" s="1"/>
  <c r="DG11"/>
  <c r="DH11" s="1"/>
  <c r="DG10"/>
  <c r="DH10" s="1"/>
  <c r="DG9"/>
  <c r="DH9" s="1"/>
  <c r="DH17" l="1"/>
  <c r="DI15" s="1"/>
  <c r="DL15" s="1"/>
  <c r="DI12" l="1"/>
  <c r="DL12" s="1"/>
  <c r="DI16"/>
  <c r="DL16" s="1"/>
  <c r="DI11"/>
  <c r="DL11" s="1"/>
  <c r="DI9"/>
  <c r="DL9" s="1"/>
  <c r="DI14"/>
  <c r="DL14" s="1"/>
  <c r="DI10"/>
  <c r="DL10" s="1"/>
  <c r="DI13"/>
  <c r="DL13" s="1"/>
  <c r="DI17" l="1"/>
  <c r="DJ17" s="1"/>
  <c r="DK17"/>
  <c r="DM11" l="1"/>
  <c r="DN11" s="1"/>
  <c r="DM16"/>
  <c r="DN16" s="1"/>
  <c r="DM10"/>
  <c r="DN10" s="1"/>
  <c r="DM15"/>
  <c r="DN15" s="1"/>
  <c r="DM14"/>
  <c r="DN14" s="1"/>
  <c r="DM13"/>
  <c r="DN13" s="1"/>
  <c r="DM12"/>
  <c r="DN12" s="1"/>
  <c r="DM9"/>
  <c r="DN9" s="1"/>
  <c r="DN17" l="1"/>
  <c r="DO11" s="1"/>
  <c r="DO14" l="1"/>
  <c r="DR14" s="1"/>
  <c r="DO15"/>
  <c r="DR15" s="1"/>
  <c r="DO16"/>
  <c r="DR16" s="1"/>
  <c r="DO9"/>
  <c r="DR9" s="1"/>
  <c r="DO13"/>
  <c r="DR13" s="1"/>
  <c r="DO12"/>
  <c r="DR12" s="1"/>
  <c r="DO10"/>
  <c r="DR10" s="1"/>
  <c r="DR11"/>
  <c r="DO17" l="1"/>
  <c r="DP17" s="1"/>
  <c r="DQ17"/>
  <c r="DS10" l="1"/>
  <c r="DT10" s="1"/>
  <c r="DS13"/>
  <c r="DT13" s="1"/>
  <c r="DS11"/>
  <c r="DT11" s="1"/>
  <c r="DS16"/>
  <c r="DT16" s="1"/>
  <c r="DS14"/>
  <c r="DT14" s="1"/>
  <c r="DS15"/>
  <c r="DT15" s="1"/>
  <c r="DS9"/>
  <c r="DT9" s="1"/>
  <c r="DS12"/>
  <c r="DT12" s="1"/>
  <c r="DT17" l="1"/>
  <c r="DU11" s="1"/>
  <c r="DX11" s="1"/>
  <c r="DU13" l="1"/>
  <c r="DX13" s="1"/>
  <c r="DU9"/>
  <c r="DX9" s="1"/>
  <c r="DU14"/>
  <c r="DX14" s="1"/>
  <c r="DU10"/>
  <c r="DU16"/>
  <c r="DX16" s="1"/>
  <c r="DU12"/>
  <c r="DX12" s="1"/>
  <c r="DU15"/>
  <c r="DX15" s="1"/>
  <c r="DX10"/>
  <c r="DU17" l="1"/>
  <c r="DV17" s="1"/>
  <c r="DW17"/>
  <c r="DY11" l="1"/>
  <c r="DZ11" s="1"/>
  <c r="DY10"/>
  <c r="DZ10" s="1"/>
  <c r="DY14"/>
  <c r="DZ14" s="1"/>
  <c r="DY12"/>
  <c r="DZ12" s="1"/>
  <c r="DY16"/>
  <c r="DZ16" s="1"/>
  <c r="DY13"/>
  <c r="DZ13" s="1"/>
  <c r="DY9"/>
  <c r="DZ9" s="1"/>
  <c r="DY15"/>
  <c r="DZ15" s="1"/>
  <c r="DZ17" l="1"/>
  <c r="EA12" l="1"/>
  <c r="EA16"/>
  <c r="EA9"/>
  <c r="EA14"/>
  <c r="EA10"/>
  <c r="EA13"/>
  <c r="EA15"/>
  <c r="EA11"/>
  <c r="ED15" l="1"/>
  <c r="ED10"/>
  <c r="ED9"/>
  <c r="ED12"/>
  <c r="ED11"/>
  <c r="ED13"/>
  <c r="ED14"/>
  <c r="ED16"/>
  <c r="EA17"/>
  <c r="EB17" s="1"/>
  <c r="EC17" l="1"/>
  <c r="EE9" l="1"/>
  <c r="EF9" s="1"/>
  <c r="EE14"/>
  <c r="EF14" s="1"/>
  <c r="EE15"/>
  <c r="EF15" s="1"/>
  <c r="EE10"/>
  <c r="EF10" s="1"/>
  <c r="EE12"/>
  <c r="EF12" s="1"/>
  <c r="EE16"/>
  <c r="EF16" s="1"/>
  <c r="EE11"/>
  <c r="EF11" s="1"/>
  <c r="EE13"/>
  <c r="EF13" s="1"/>
  <c r="EF17" l="1"/>
  <c r="EG9" l="1"/>
  <c r="EG15"/>
  <c r="EG10"/>
  <c r="EG16"/>
  <c r="EG13"/>
  <c r="EG14"/>
  <c r="EG12"/>
  <c r="EG11"/>
  <c r="EJ10" l="1"/>
  <c r="EJ16"/>
  <c r="EJ15"/>
  <c r="EJ14"/>
  <c r="EJ12"/>
  <c r="EJ13"/>
  <c r="EJ9"/>
  <c r="EG17"/>
  <c r="EH17" s="1"/>
  <c r="EJ11"/>
  <c r="EI17" l="1"/>
  <c r="EK12" l="1"/>
  <c r="EL12" s="1"/>
  <c r="EK13"/>
  <c r="EL13" s="1"/>
  <c r="EK16"/>
  <c r="EL16" s="1"/>
  <c r="EK11"/>
  <c r="EL11" s="1"/>
  <c r="EK9"/>
  <c r="EL9" s="1"/>
  <c r="EK14"/>
  <c r="EL14" s="1"/>
  <c r="EK10"/>
  <c r="EL10" s="1"/>
  <c r="EK15"/>
  <c r="EL15" s="1"/>
  <c r="EL17" l="1"/>
  <c r="EM11" l="1"/>
  <c r="EP11" s="1"/>
  <c r="EM15"/>
  <c r="EP15" s="1"/>
  <c r="EM9"/>
  <c r="EP9" s="1"/>
  <c r="EM16"/>
  <c r="EP16" s="1"/>
  <c r="EM14"/>
  <c r="EP14" s="1"/>
  <c r="EM10"/>
  <c r="EP10" s="1"/>
  <c r="EM12"/>
  <c r="EM13"/>
  <c r="EP13" s="1"/>
  <c r="EM17" l="1"/>
  <c r="EN17" s="1"/>
  <c r="EP12"/>
  <c r="EO17" l="1"/>
  <c r="EQ11" s="1"/>
  <c r="ER11" s="1"/>
  <c r="EQ16" l="1"/>
  <c r="ER16" s="1"/>
  <c r="EQ15"/>
  <c r="ER15" s="1"/>
  <c r="EQ10"/>
  <c r="ER10" s="1"/>
  <c r="EQ9"/>
  <c r="ER9" s="1"/>
  <c r="EQ14"/>
  <c r="ER14" s="1"/>
  <c r="EQ12"/>
  <c r="ER12" s="1"/>
  <c r="EQ13"/>
  <c r="ER13" s="1"/>
  <c r="ER17" l="1"/>
  <c r="ES9" s="1"/>
  <c r="EV9" s="1"/>
  <c r="ES14" l="1"/>
  <c r="EV14" s="1"/>
  <c r="ES16"/>
  <c r="EV16" s="1"/>
  <c r="ES10"/>
  <c r="EV10" s="1"/>
  <c r="ES12"/>
  <c r="EV12" s="1"/>
  <c r="ES13"/>
  <c r="EV13" s="1"/>
  <c r="ES15"/>
  <c r="EV15" s="1"/>
  <c r="ES11"/>
  <c r="EV11" s="1"/>
  <c r="ES17" l="1"/>
  <c r="ET17" s="1"/>
  <c r="EU17"/>
  <c r="EW13" s="1"/>
  <c r="EX13" l="1"/>
  <c r="EW14"/>
  <c r="EX14" s="1"/>
  <c r="EW16"/>
  <c r="EX16" s="1"/>
  <c r="EW10"/>
  <c r="EX10" s="1"/>
  <c r="EW12"/>
  <c r="EX12" s="1"/>
  <c r="EW11"/>
  <c r="EX11" s="1"/>
  <c r="EW9"/>
  <c r="EX9" s="1"/>
  <c r="EW15"/>
  <c r="EX15" s="1"/>
  <c r="EX17" l="1"/>
  <c r="EY16" s="1"/>
  <c r="EY14" l="1"/>
  <c r="FB14" s="1"/>
  <c r="EY15"/>
  <c r="FB15" s="1"/>
  <c r="EY9"/>
  <c r="FB9" s="1"/>
  <c r="EY13"/>
  <c r="FB13" s="1"/>
  <c r="EY10"/>
  <c r="FB10" s="1"/>
  <c r="EY12"/>
  <c r="FB12" s="1"/>
  <c r="EY11"/>
  <c r="FB11" s="1"/>
  <c r="FB16"/>
  <c r="EY17" l="1"/>
  <c r="EZ17" s="1"/>
  <c r="FA17"/>
  <c r="FC16" l="1"/>
  <c r="FD16" s="1"/>
  <c r="FC12"/>
  <c r="FD12" s="1"/>
  <c r="FC13"/>
  <c r="FD13" s="1"/>
  <c r="FC9"/>
  <c r="FD9" s="1"/>
  <c r="FC14"/>
  <c r="FD14" s="1"/>
  <c r="FC10"/>
  <c r="FD10" s="1"/>
  <c r="FC15"/>
  <c r="FD15" s="1"/>
  <c r="FC11"/>
  <c r="FD11" s="1"/>
  <c r="FD17" l="1"/>
  <c r="FE15" l="1"/>
  <c r="FE16"/>
  <c r="FE10"/>
  <c r="FE13"/>
  <c r="FE9"/>
  <c r="FE11"/>
  <c r="FE14"/>
  <c r="FE12"/>
  <c r="FH13" l="1"/>
  <c r="FH15"/>
  <c r="FH14"/>
  <c r="FH10"/>
  <c r="FE17"/>
  <c r="FF17" s="1"/>
  <c r="FH9"/>
  <c r="FH16"/>
  <c r="FH12"/>
  <c r="FH11"/>
  <c r="FG17" l="1"/>
  <c r="FI15" l="1"/>
  <c r="FJ15" s="1"/>
  <c r="FI16"/>
  <c r="FJ16" s="1"/>
  <c r="FI12"/>
  <c r="FJ12" s="1"/>
  <c r="FI13"/>
  <c r="FJ13" s="1"/>
  <c r="FI9"/>
  <c r="FJ9" s="1"/>
  <c r="FI14"/>
  <c r="FJ14" s="1"/>
  <c r="FI10"/>
  <c r="FJ10" s="1"/>
  <c r="FI11"/>
  <c r="FJ11" s="1"/>
  <c r="FJ17" l="1"/>
  <c r="FK16" l="1"/>
  <c r="FK11"/>
  <c r="FK15"/>
  <c r="FK12"/>
  <c r="FK9"/>
  <c r="FK10"/>
  <c r="FK14"/>
  <c r="FK13"/>
  <c r="FN14" l="1"/>
  <c r="FN10"/>
  <c r="FN16"/>
  <c r="FK17"/>
  <c r="FL17" s="1"/>
  <c r="FN9"/>
  <c r="FN15"/>
  <c r="FN13"/>
  <c r="FN12"/>
  <c r="FN11"/>
  <c r="FM17" l="1"/>
  <c r="FO16" l="1"/>
  <c r="FP16" s="1"/>
  <c r="FO12"/>
  <c r="FP12" s="1"/>
  <c r="FO13"/>
  <c r="FP13" s="1"/>
  <c r="FO9"/>
  <c r="FP9" s="1"/>
  <c r="FO14"/>
  <c r="FP14" s="1"/>
  <c r="FO10"/>
  <c r="FP10" s="1"/>
  <c r="FO15"/>
  <c r="FP15" s="1"/>
  <c r="FO11"/>
  <c r="FP11" s="1"/>
  <c r="FP17" l="1"/>
  <c r="FQ14" l="1"/>
  <c r="FQ10"/>
  <c r="FQ12"/>
  <c r="FQ16"/>
  <c r="FQ15"/>
  <c r="FQ11"/>
  <c r="FQ13"/>
  <c r="FQ9"/>
  <c r="FT13" l="1"/>
  <c r="FT11"/>
  <c r="FT12"/>
  <c r="FT14"/>
  <c r="FQ17"/>
  <c r="FR17" s="1"/>
  <c r="FT9"/>
  <c r="FT16"/>
  <c r="FT10"/>
  <c r="FT15"/>
  <c r="FS17" l="1"/>
  <c r="FU15" l="1"/>
  <c r="FV15" s="1"/>
  <c r="FU16"/>
  <c r="FV16" s="1"/>
  <c r="FU12"/>
  <c r="FV12" s="1"/>
  <c r="FU13"/>
  <c r="FV13" s="1"/>
  <c r="FU9"/>
  <c r="FV9" s="1"/>
  <c r="FU14"/>
  <c r="FV14" s="1"/>
  <c r="FU10"/>
  <c r="FV10" s="1"/>
  <c r="FU11"/>
  <c r="FV11" s="1"/>
  <c r="FV17" l="1"/>
  <c r="FW12" l="1"/>
  <c r="FW13"/>
  <c r="FW9"/>
  <c r="FW10"/>
  <c r="FW11"/>
  <c r="FW16"/>
  <c r="FW14"/>
  <c r="FW15"/>
  <c r="FZ16" l="1"/>
  <c r="FZ14"/>
  <c r="FZ10"/>
  <c r="FZ15"/>
  <c r="FZ11"/>
  <c r="FZ13"/>
  <c r="FZ12"/>
  <c r="FW17"/>
  <c r="FX17" s="1"/>
  <c r="FZ9"/>
  <c r="FY17" l="1"/>
  <c r="GA12" l="1"/>
  <c r="GB12" s="1"/>
  <c r="GA13"/>
  <c r="GB13" s="1"/>
  <c r="GA9"/>
  <c r="GB9" s="1"/>
  <c r="GA11"/>
  <c r="GB11" s="1"/>
  <c r="GA10"/>
  <c r="GB10" s="1"/>
  <c r="GA15"/>
  <c r="GB15" s="1"/>
  <c r="GA14"/>
  <c r="GB14" s="1"/>
  <c r="GA16"/>
  <c r="GB16" s="1"/>
  <c r="GB17" l="1"/>
  <c r="GC15" s="1"/>
  <c r="GC10" l="1"/>
  <c r="GF10" s="1"/>
  <c r="GC13"/>
  <c r="GF13" s="1"/>
  <c r="GC11"/>
  <c r="GF11" s="1"/>
  <c r="GC14"/>
  <c r="GF14" s="1"/>
  <c r="GC9"/>
  <c r="GF9" s="1"/>
  <c r="GC12"/>
  <c r="GF12" s="1"/>
  <c r="GC16"/>
  <c r="GF16" s="1"/>
  <c r="GF15"/>
  <c r="GC17" l="1"/>
  <c r="GD17" s="1"/>
  <c r="GE17"/>
  <c r="GG11" l="1"/>
  <c r="GH11" s="1"/>
  <c r="GG9"/>
  <c r="GH9" s="1"/>
  <c r="GG14"/>
  <c r="GH14" s="1"/>
  <c r="GG16"/>
  <c r="GH16" s="1"/>
  <c r="GG10"/>
  <c r="GH10" s="1"/>
  <c r="GG12"/>
  <c r="GH12" s="1"/>
  <c r="GG15"/>
  <c r="GH15" s="1"/>
  <c r="GG13"/>
  <c r="GH13" s="1"/>
  <c r="GH17" l="1"/>
  <c r="GI16" s="1"/>
  <c r="GJ16" s="1"/>
  <c r="GK16" s="1"/>
  <c r="GL16" s="1"/>
  <c r="GI11" l="1"/>
  <c r="GJ11" s="1"/>
  <c r="GK11" s="1"/>
  <c r="GL11" s="1"/>
  <c r="GI13"/>
  <c r="GJ13" s="1"/>
  <c r="GK13" s="1"/>
  <c r="GL13" s="1"/>
  <c r="GI10"/>
  <c r="GJ10" s="1"/>
  <c r="GK10" s="1"/>
  <c r="GL10" s="1"/>
  <c r="GI14"/>
  <c r="GJ14" s="1"/>
  <c r="GK14" s="1"/>
  <c r="GL14" s="1"/>
  <c r="GI15"/>
  <c r="GJ15" s="1"/>
  <c r="GK15" s="1"/>
  <c r="GL15" s="1"/>
  <c r="GI12"/>
  <c r="GJ12" s="1"/>
  <c r="GK12" s="1"/>
  <c r="GL12" s="1"/>
  <c r="GI9"/>
  <c r="GI17" l="1"/>
  <c r="GJ9"/>
  <c r="GJ17" s="1"/>
  <c r="GK17" s="1"/>
  <c r="GK9" l="1"/>
  <c r="GL9" s="1"/>
</calcChain>
</file>

<file path=xl/sharedStrings.xml><?xml version="1.0" encoding="utf-8"?>
<sst xmlns="http://schemas.openxmlformats.org/spreadsheetml/2006/main" count="1242" uniqueCount="201">
  <si>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</si>
  <si>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</si>
  <si>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</si>
  <si>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</si>
  <si>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</si>
  <si>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</si>
  <si>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</si>
  <si>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</si>
  <si>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</si>
  <si>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</si>
  <si>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</si>
  <si>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</si>
  <si>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</si>
  <si>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</si>
  <si>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</si>
  <si>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</si>
  <si>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</si>
  <si>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</si>
  <si>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</si>
  <si>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</si>
  <si>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</si>
  <si>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</si>
  <si>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</si>
  <si>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</si>
  <si>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</si>
  <si>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</si>
  <si>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</si>
  <si>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</si>
  <si>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</si>
  <si>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</si>
  <si>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</si>
  <si>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</si>
  <si>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</si>
  <si>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</si>
  <si>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</si>
  <si>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</si>
  <si>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</si>
  <si>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</si>
  <si>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</si>
  <si>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</si>
  <si>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</si>
  <si>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</si>
  <si>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</si>
  <si>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</si>
  <si>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</si>
  <si>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</si>
  <si>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</si>
  <si>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</si>
  <si>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</si>
  <si>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</si>
  <si>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</si>
  <si>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</si>
  <si>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</si>
  <si>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</si>
  <si>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</si>
  <si>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</si>
  <si>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</si>
  <si>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</si>
  <si>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</si>
  <si>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</si>
  <si>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</si>
  <si>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</si>
  <si>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</si>
  <si>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</si>
  <si>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</si>
  <si>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</si>
  <si>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</si>
  <si>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</si>
  <si>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</si>
  <si>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</si>
  <si>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</si>
  <si>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</si>
  <si>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</si>
  <si>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 xml:space="preserve">Численность населения 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</si>
  <si>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</si>
  <si>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</si>
  <si>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</si>
  <si>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</si>
  <si>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</si>
  <si>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</si>
  <si>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</si>
  <si>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</si>
  <si>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</si>
  <si>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</si>
  <si>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</si>
  <si>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</si>
  <si>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</si>
  <si>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</si>
  <si>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</si>
  <si>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</si>
  <si>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</si>
  <si>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</si>
  <si>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</si>
  <si>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</si>
  <si>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</si>
  <si>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</si>
  <si>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</si>
  <si>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</si>
  <si>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</si>
  <si>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</si>
  <si>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</si>
  <si>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</si>
  <si>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</si>
  <si>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</si>
  <si>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</si>
  <si>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</si>
  <si>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</si>
  <si>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</si>
  <si>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</si>
  <si>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</si>
  <si>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</si>
  <si>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</si>
  <si>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</si>
  <si>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</si>
  <si>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</si>
  <si>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</si>
  <si>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</si>
  <si>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</si>
  <si>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</si>
  <si>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</si>
  <si>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</si>
  <si>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</si>
  <si>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</si>
  <si>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</si>
  <si>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</si>
  <si>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</si>
  <si>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</si>
  <si>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</si>
  <si>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</si>
  <si>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</si>
  <si>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</si>
  <si>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</si>
  <si>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</si>
  <si>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</si>
  <si>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</si>
  <si>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</si>
  <si>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</si>
  <si>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</si>
  <si>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</si>
  <si>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</si>
  <si>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</si>
  <si>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</si>
  <si>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</si>
  <si>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</si>
  <si>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</si>
  <si>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</si>
  <si>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</si>
  <si>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</si>
  <si>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</si>
  <si>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</si>
  <si>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</si>
  <si>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</si>
  <si>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</si>
  <si>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</si>
  <si>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</si>
  <si>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</si>
  <si>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</si>
  <si>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</si>
  <si>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</si>
  <si>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</si>
  <si>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</si>
  <si>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</si>
  <si>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</si>
  <si>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</si>
  <si>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</si>
  <si>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</si>
  <si>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</si>
  <si>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</si>
  <si>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</si>
  <si>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</si>
  <si>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</si>
  <si>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</si>
  <si>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</si>
  <si>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</si>
  <si>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</si>
  <si>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Бутаковское сельское поселение</t>
  </si>
  <si>
    <t>Завьяловское сельское поселение</t>
  </si>
  <si>
    <t>Знаменское сельское поселение</t>
  </si>
  <si>
    <t>Качуковское сельское поселение</t>
  </si>
  <si>
    <t>Новоягодинское сельское поселение</t>
  </si>
  <si>
    <t>Семеновское сельское поселение</t>
  </si>
  <si>
    <t>Чередовское сельское поселение</t>
  </si>
  <si>
    <t>Шуховское сельское поселение</t>
  </si>
  <si>
    <t>км</t>
  </si>
  <si>
    <t>K1i=2-(P1min + ∑P1)/(P1i + ∑P1)</t>
  </si>
  <si>
    <t>Х</t>
  </si>
  <si>
    <t>кв.км.</t>
  </si>
  <si>
    <t>чел./кв.км.</t>
  </si>
  <si>
    <t xml:space="preserve">Коэффициент дифференцированности поселений по численности постоянного населения </t>
  </si>
  <si>
    <t>Коэффициент плотности   постоянного   населения</t>
  </si>
  <si>
    <t>K3i=2-(P2i + ∑P2)/(P2max + ∑P2)</t>
  </si>
  <si>
    <t>Плотность     постоянного населения (Р2)</t>
  </si>
  <si>
    <r>
      <t xml:space="preserve">Поправочный коэффициент расходных потребностей </t>
    </r>
    <r>
      <rPr>
        <b/>
        <i/>
        <sz val="10"/>
        <rFont val="Times New Roman"/>
        <family val="1"/>
        <charset val="204"/>
      </rPr>
      <t>PKrp =K1i+K2i+K3i</t>
    </r>
  </si>
  <si>
    <t>Коэффициент удаленности от районного центра до поселения</t>
  </si>
  <si>
    <t>Расчет размера дотации бюджетам поселений, входящих в состав Знаменского муниципального района Омской области, на выравнивание бюджетной обеспеченности на 2026 год</t>
  </si>
  <si>
    <t>на 01.01.2024</t>
  </si>
  <si>
    <t>2026 год</t>
  </si>
  <si>
    <t>Удаленность от районного центра до поселения на 01.01.2024 г (Р1)</t>
  </si>
  <si>
    <t>Группы поселения по численности постоянного населения на 01.01.2024</t>
  </si>
  <si>
    <t>Площадь территории муниципального образованияна 01.01.2024(Si)</t>
  </si>
  <si>
    <t xml:space="preserve">К2i = 0,5, при численности постоянного населения от 1201человек;
К2i = 2,  при численности постоянного населения от  901 до 1200 человек;
К2i = 3,  при численности постоянного населения от 701 до 900 человек;
К2i = 4,  при численности постоянного населения от  501 до 700 человек;
К2i = 5,  при численности постоянного населения от 401 до 500 человек;
К2i = 6,  при численности постоянного населения до 400 человек.
</t>
  </si>
</sst>
</file>

<file path=xl/styles.xml><?xml version="1.0" encoding="utf-8"?>
<styleSheet xmlns="http://schemas.openxmlformats.org/spreadsheetml/2006/main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.00000"/>
  </numFmts>
  <fonts count="45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6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42" fillId="50" borderId="72">
      <alignment vertical="center" wrapText="1"/>
    </xf>
  </cellStyleXfs>
  <cellXfs count="249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6" xfId="0" applyFont="1" applyFill="1" applyBorder="1" applyAlignment="1">
      <alignment vertical="center"/>
    </xf>
    <xf numFmtId="3" fontId="21" fillId="0" borderId="16" xfId="0" applyNumberFormat="1" applyFont="1" applyFill="1" applyBorder="1" applyAlignment="1">
      <alignment horizontal="center" vertical="center"/>
    </xf>
    <xf numFmtId="164" fontId="21" fillId="0" borderId="16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6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3" fontId="33" fillId="0" borderId="27" xfId="0" applyNumberFormat="1" applyFont="1" applyFill="1" applyBorder="1" applyAlignment="1">
      <alignment horizontal="center" vertical="center" wrapText="1"/>
    </xf>
    <xf numFmtId="3" fontId="33" fillId="0" borderId="16" xfId="0" applyNumberFormat="1" applyFont="1" applyFill="1" applyBorder="1" applyAlignment="1">
      <alignment horizontal="center" vertical="center" wrapText="1"/>
    </xf>
    <xf numFmtId="167" fontId="21" fillId="28" borderId="16" xfId="0" applyNumberFormat="1" applyFont="1" applyFill="1" applyBorder="1" applyAlignment="1">
      <alignment horizontal="right" vertical="center"/>
    </xf>
    <xf numFmtId="166" fontId="21" fillId="28" borderId="16" xfId="0" applyNumberFormat="1" applyFont="1" applyFill="1" applyBorder="1" applyAlignment="1">
      <alignment horizontal="center" vertical="center" wrapText="1"/>
    </xf>
    <xf numFmtId="172" fontId="30" fillId="28" borderId="16" xfId="0" applyNumberFormat="1" applyFont="1" applyFill="1" applyBorder="1" applyAlignment="1">
      <alignment horizontal="center" vertical="center"/>
    </xf>
    <xf numFmtId="173" fontId="21" fillId="28" borderId="16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169" fontId="18" fillId="26" borderId="15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0" fontId="32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2" fillId="26" borderId="27" xfId="0" applyFont="1" applyFill="1" applyBorder="1" applyAlignment="1">
      <alignment horizontal="center" vertical="center" wrapText="1"/>
    </xf>
    <xf numFmtId="0" fontId="32" fillId="26" borderId="16" xfId="0" applyFont="1" applyFill="1" applyBorder="1" applyAlignment="1">
      <alignment horizontal="center" vertical="center" wrapText="1"/>
    </xf>
    <xf numFmtId="0" fontId="32" fillId="34" borderId="32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8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7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17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2" fillId="0" borderId="48" xfId="0" applyFont="1" applyFill="1" applyBorder="1" applyAlignment="1">
      <alignment horizontal="center" vertical="center"/>
    </xf>
    <xf numFmtId="0" fontId="32" fillId="0" borderId="48" xfId="0" applyFont="1" applyBorder="1" applyAlignment="1">
      <alignment horizontal="center" vertical="center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52" xfId="0" applyFont="1" applyFill="1" applyBorder="1" applyAlignment="1">
      <alignment horizontal="center" vertical="center" wrapText="1"/>
    </xf>
    <xf numFmtId="164" fontId="39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horizontal="center" vertical="center" wrapText="1"/>
    </xf>
    <xf numFmtId="164" fontId="38" fillId="42" borderId="20" xfId="0" applyNumberFormat="1" applyFont="1" applyFill="1" applyBorder="1" applyAlignment="1">
      <alignment horizontal="center" vertical="center" wrapText="1"/>
    </xf>
    <xf numFmtId="164" fontId="38" fillId="42" borderId="15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32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9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2" fillId="26" borderId="64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2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2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30" fillId="48" borderId="27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164" fontId="18" fillId="0" borderId="15" xfId="0" applyNumberFormat="1" applyFont="1" applyFill="1" applyBorder="1" applyAlignment="1">
      <alignment horizontal="center" vertical="center"/>
    </xf>
    <xf numFmtId="167" fontId="30" fillId="0" borderId="67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0" fontId="32" fillId="0" borderId="50" xfId="0" applyFont="1" applyBorder="1" applyAlignment="1">
      <alignment horizontal="center" vertical="center"/>
    </xf>
    <xf numFmtId="172" fontId="34" fillId="31" borderId="69" xfId="0" applyNumberFormat="1" applyFont="1" applyFill="1" applyBorder="1" applyAlignment="1">
      <alignment horizontal="center" vertical="center" wrapText="1"/>
    </xf>
    <xf numFmtId="0" fontId="35" fillId="0" borderId="70" xfId="0" applyFont="1" applyFill="1" applyBorder="1" applyAlignment="1">
      <alignment wrapText="1"/>
    </xf>
    <xf numFmtId="171" fontId="18" fillId="0" borderId="34" xfId="0" applyNumberFormat="1" applyFont="1" applyFill="1" applyBorder="1" applyAlignment="1">
      <alignment horizontal="center" vertical="center"/>
    </xf>
    <xf numFmtId="171" fontId="18" fillId="0" borderId="34" xfId="0" applyNumberFormat="1" applyFont="1" applyBorder="1" applyAlignment="1">
      <alignment horizontal="center"/>
    </xf>
    <xf numFmtId="167" fontId="21" fillId="28" borderId="24" xfId="0" applyNumberFormat="1" applyFont="1" applyFill="1" applyBorder="1" applyAlignment="1">
      <alignment horizontal="right" vertical="center"/>
    </xf>
    <xf numFmtId="0" fontId="23" fillId="0" borderId="71" xfId="0" applyFont="1" applyFill="1" applyBorder="1" applyAlignment="1">
      <alignment wrapText="1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4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3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21" fillId="39" borderId="54" xfId="0" applyFont="1" applyFill="1" applyBorder="1" applyAlignment="1">
      <alignment horizontal="center" vertical="center"/>
    </xf>
    <xf numFmtId="0" fontId="24" fillId="0" borderId="11" xfId="44" applyFont="1" applyFill="1" applyBorder="1">
      <alignment vertical="center" wrapText="1"/>
    </xf>
    <xf numFmtId="0" fontId="18" fillId="26" borderId="44" xfId="0" applyFont="1" applyFill="1" applyBorder="1" applyAlignment="1">
      <alignment horizontal="center" vertical="center"/>
    </xf>
    <xf numFmtId="0" fontId="18" fillId="26" borderId="14" xfId="0" applyFont="1" applyFill="1" applyBorder="1" applyAlignment="1">
      <alignment horizontal="center" vertical="center"/>
    </xf>
    <xf numFmtId="0" fontId="21" fillId="0" borderId="46" xfId="0" applyFont="1" applyFill="1" applyBorder="1" applyAlignment="1">
      <alignment horizontal="center" vertical="center"/>
    </xf>
    <xf numFmtId="174" fontId="18" fillId="26" borderId="34" xfId="0" applyNumberFormat="1" applyFont="1" applyFill="1" applyBorder="1" applyAlignment="1">
      <alignment vertical="center"/>
    </xf>
    <xf numFmtId="174" fontId="18" fillId="0" borderId="16" xfId="0" applyNumberFormat="1" applyFont="1" applyFill="1" applyBorder="1" applyAlignment="1">
      <alignment vertical="center"/>
    </xf>
    <xf numFmtId="0" fontId="43" fillId="42" borderId="52" xfId="0" applyFont="1" applyFill="1" applyBorder="1" applyAlignment="1">
      <alignment horizontal="left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1" xfId="0" applyFont="1" applyFill="1" applyBorder="1" applyAlignment="1">
      <alignment horizontal="center" vertical="center" wrapText="1"/>
    </xf>
    <xf numFmtId="0" fontId="32" fillId="0" borderId="49" xfId="0" applyFont="1" applyFill="1" applyBorder="1" applyAlignment="1">
      <alignment horizontal="center" vertical="center" wrapText="1"/>
    </xf>
    <xf numFmtId="0" fontId="33" fillId="32" borderId="21" xfId="0" applyFont="1" applyFill="1" applyBorder="1" applyAlignment="1">
      <alignment horizontal="center" vertical="center" wrapText="1"/>
    </xf>
    <xf numFmtId="0" fontId="33" fillId="32" borderId="49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8" fillId="26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Z19"/>
  <sheetViews>
    <sheetView view="pageBreakPreview" zoomScale="90" zoomScaleNormal="90" zoomScaleSheetLayoutView="90" workbookViewId="0">
      <selection activeCell="D19" sqref="D19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8" width="19.42578125" style="1" customWidth="1"/>
    <col min="9" max="234" width="9.140625" style="1"/>
  </cols>
  <sheetData>
    <row r="2" spans="1:8" s="4" customFormat="1" ht="41.25" customHeight="1">
      <c r="A2" s="192" t="s">
        <v>75</v>
      </c>
      <c r="B2" s="192"/>
      <c r="C2" s="192"/>
      <c r="D2" s="192"/>
      <c r="E2" s="192"/>
      <c r="F2" s="192"/>
      <c r="G2" s="192"/>
      <c r="H2" s="192"/>
    </row>
    <row r="3" spans="1:8" s="4" customFormat="1" ht="16.5">
      <c r="B3" s="186"/>
      <c r="C3" s="186"/>
      <c r="D3" s="186"/>
      <c r="E3" s="186"/>
      <c r="F3" s="186"/>
      <c r="G3" s="186"/>
    </row>
    <row r="4" spans="1:8" ht="16.5" thickBot="1">
      <c r="B4" s="5"/>
      <c r="C4" s="6"/>
      <c r="D4" s="6"/>
    </row>
    <row r="5" spans="1:8" ht="20.25" customHeight="1" thickBot="1">
      <c r="A5" s="197" t="s">
        <v>0</v>
      </c>
      <c r="B5" s="187" t="s">
        <v>7</v>
      </c>
      <c r="C5" s="190" t="s">
        <v>57</v>
      </c>
      <c r="D5" s="191"/>
      <c r="E5" s="191"/>
      <c r="F5" s="191"/>
      <c r="G5" s="191"/>
      <c r="H5" s="191"/>
    </row>
    <row r="6" spans="1:8" s="7" customFormat="1" ht="51.75" customHeight="1">
      <c r="A6" s="198"/>
      <c r="B6" s="188"/>
      <c r="C6" s="94" t="s">
        <v>73</v>
      </c>
      <c r="D6" s="94" t="s">
        <v>63</v>
      </c>
      <c r="E6" s="193" t="s">
        <v>72</v>
      </c>
      <c r="F6" s="194"/>
      <c r="G6" s="194"/>
      <c r="H6" s="194"/>
    </row>
    <row r="7" spans="1:8" s="7" customFormat="1" ht="19.5" customHeight="1" thickBot="1">
      <c r="A7" s="198"/>
      <c r="B7" s="188"/>
      <c r="C7" s="95" t="s">
        <v>195</v>
      </c>
      <c r="D7" s="97" t="s">
        <v>196</v>
      </c>
      <c r="E7" s="195"/>
      <c r="F7" s="196"/>
      <c r="G7" s="196"/>
      <c r="H7" s="196"/>
    </row>
    <row r="8" spans="1:8" s="7" customFormat="1" ht="67.5" customHeight="1" thickBot="1">
      <c r="A8" s="198"/>
      <c r="B8" s="189"/>
      <c r="C8" s="96" t="s">
        <v>1</v>
      </c>
      <c r="D8" s="96" t="s">
        <v>2</v>
      </c>
      <c r="E8" s="98" t="s">
        <v>197</v>
      </c>
      <c r="F8" s="99" t="s">
        <v>198</v>
      </c>
      <c r="G8" s="99" t="s">
        <v>199</v>
      </c>
      <c r="H8" s="99" t="s">
        <v>191</v>
      </c>
    </row>
    <row r="9" spans="1:8" s="8" customFormat="1" thickBot="1">
      <c r="A9" s="199"/>
      <c r="B9" s="59" t="s">
        <v>3</v>
      </c>
      <c r="C9" s="57" t="s">
        <v>5</v>
      </c>
      <c r="D9" s="57" t="s">
        <v>4</v>
      </c>
      <c r="E9" s="93" t="s">
        <v>183</v>
      </c>
      <c r="F9" s="93"/>
      <c r="G9" s="93" t="s">
        <v>186</v>
      </c>
      <c r="H9" s="93" t="s">
        <v>187</v>
      </c>
    </row>
    <row r="10" spans="1:8" s="8" customFormat="1" thickBot="1">
      <c r="A10" s="38">
        <v>1</v>
      </c>
      <c r="B10" s="39">
        <v>2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</row>
    <row r="11" spans="1:8" ht="38.25" thickBot="1">
      <c r="A11" s="41">
        <v>1</v>
      </c>
      <c r="B11" s="178" t="s">
        <v>175</v>
      </c>
      <c r="C11" s="136">
        <v>536</v>
      </c>
      <c r="D11" s="136">
        <v>225277</v>
      </c>
      <c r="E11" s="139">
        <v>21</v>
      </c>
      <c r="F11" s="124">
        <v>4</v>
      </c>
      <c r="G11" s="179">
        <v>281.36</v>
      </c>
      <c r="H11" s="182">
        <f>C11/G11</f>
        <v>1.9050326983224337</v>
      </c>
    </row>
    <row r="12" spans="1:8" ht="38.25" thickBot="1">
      <c r="A12" s="42">
        <v>2</v>
      </c>
      <c r="B12" s="178" t="s">
        <v>176</v>
      </c>
      <c r="C12" s="137">
        <v>882</v>
      </c>
      <c r="D12" s="137">
        <v>634530</v>
      </c>
      <c r="E12" s="135">
        <v>30</v>
      </c>
      <c r="F12" s="18">
        <v>3</v>
      </c>
      <c r="G12" s="180">
        <v>759.78</v>
      </c>
      <c r="H12" s="182">
        <f t="shared" ref="H12:H18" si="0">C12/G12</f>
        <v>1.1608623548922057</v>
      </c>
    </row>
    <row r="13" spans="1:8" ht="38.25" thickBot="1">
      <c r="A13" s="42">
        <v>3</v>
      </c>
      <c r="B13" s="178" t="s">
        <v>177</v>
      </c>
      <c r="C13" s="137">
        <v>5715</v>
      </c>
      <c r="D13" s="137">
        <v>5790877</v>
      </c>
      <c r="E13" s="135">
        <v>0</v>
      </c>
      <c r="F13" s="18">
        <v>1</v>
      </c>
      <c r="G13" s="180">
        <v>167.27</v>
      </c>
      <c r="H13" s="182">
        <f t="shared" si="0"/>
        <v>34.166317929096671</v>
      </c>
    </row>
    <row r="14" spans="1:8" ht="38.25" thickBot="1">
      <c r="A14" s="42">
        <v>4</v>
      </c>
      <c r="B14" s="178" t="s">
        <v>178</v>
      </c>
      <c r="C14" s="137">
        <v>419</v>
      </c>
      <c r="D14" s="137">
        <v>259783</v>
      </c>
      <c r="E14" s="135">
        <v>15</v>
      </c>
      <c r="F14" s="18">
        <v>5</v>
      </c>
      <c r="G14" s="180">
        <v>690.21</v>
      </c>
      <c r="H14" s="182">
        <f t="shared" si="0"/>
        <v>0.60706161892757271</v>
      </c>
    </row>
    <row r="15" spans="1:8" ht="38.25" thickBot="1">
      <c r="A15" s="42">
        <v>5</v>
      </c>
      <c r="B15" s="178" t="s">
        <v>179</v>
      </c>
      <c r="C15" s="137">
        <v>592</v>
      </c>
      <c r="D15" s="137">
        <v>480738</v>
      </c>
      <c r="E15" s="135">
        <v>63</v>
      </c>
      <c r="F15" s="18">
        <v>4</v>
      </c>
      <c r="G15" s="180">
        <v>796.44</v>
      </c>
      <c r="H15" s="182">
        <f t="shared" si="0"/>
        <v>0.74330771935111239</v>
      </c>
    </row>
    <row r="16" spans="1:8" ht="38.25" thickBot="1">
      <c r="A16" s="42">
        <v>6</v>
      </c>
      <c r="B16" s="178" t="s">
        <v>180</v>
      </c>
      <c r="C16" s="137">
        <v>592</v>
      </c>
      <c r="D16" s="137">
        <v>279973</v>
      </c>
      <c r="E16" s="135">
        <v>7</v>
      </c>
      <c r="F16" s="18">
        <v>4</v>
      </c>
      <c r="G16" s="180">
        <v>143.54</v>
      </c>
      <c r="H16" s="182">
        <f t="shared" si="0"/>
        <v>4.1242859133342629</v>
      </c>
    </row>
    <row r="17" spans="1:8" ht="38.25" thickBot="1">
      <c r="A17" s="42">
        <v>7</v>
      </c>
      <c r="B17" s="178" t="s">
        <v>181</v>
      </c>
      <c r="C17" s="137">
        <v>304</v>
      </c>
      <c r="D17" s="137">
        <v>503381</v>
      </c>
      <c r="E17" s="135">
        <v>27</v>
      </c>
      <c r="F17" s="18">
        <v>6</v>
      </c>
      <c r="G17" s="180">
        <v>429.61</v>
      </c>
      <c r="H17" s="182">
        <f t="shared" si="0"/>
        <v>0.70761853774353478</v>
      </c>
    </row>
    <row r="18" spans="1:8" ht="38.25" thickBot="1">
      <c r="A18" s="42">
        <v>8</v>
      </c>
      <c r="B18" s="178" t="s">
        <v>182</v>
      </c>
      <c r="C18" s="138">
        <v>737</v>
      </c>
      <c r="D18" s="138">
        <v>609371</v>
      </c>
      <c r="E18" s="135">
        <v>29</v>
      </c>
      <c r="F18" s="18">
        <v>3</v>
      </c>
      <c r="G18" s="180">
        <v>382.39</v>
      </c>
      <c r="H18" s="182">
        <f t="shared" si="0"/>
        <v>1.9273516566855828</v>
      </c>
    </row>
    <row r="19" spans="1:8" ht="16.5" thickBot="1">
      <c r="A19" s="20"/>
      <c r="B19" s="21" t="s">
        <v>6</v>
      </c>
      <c r="C19" s="22">
        <f>SUM(C11:C18)</f>
        <v>9777</v>
      </c>
      <c r="D19" s="22">
        <f>SUM(D11:D18)</f>
        <v>8783930</v>
      </c>
      <c r="E19" s="23">
        <f>SUM(E11:E18)</f>
        <v>192</v>
      </c>
      <c r="F19" s="23" t="s">
        <v>185</v>
      </c>
      <c r="G19" s="181" t="s">
        <v>8</v>
      </c>
      <c r="H19" s="183">
        <f>SUM(H11:H18)</f>
        <v>45.341838428353377</v>
      </c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zoomScale="110" zoomScaleNormal="110" workbookViewId="0">
      <selection activeCell="F7" sqref="F7"/>
    </sheetView>
  </sheetViews>
  <sheetFormatPr defaultColWidth="9.140625" defaultRowHeight="15.75"/>
  <cols>
    <col min="1" max="1" width="6.140625" style="9" customWidth="1"/>
    <col min="2" max="2" width="37.5703125" style="9" customWidth="1"/>
    <col min="3" max="5" width="16.85546875" style="9" customWidth="1"/>
    <col min="6" max="6" width="18.28515625" style="9" customWidth="1"/>
    <col min="7" max="7" width="13.42578125" style="9" bestFit="1" customWidth="1"/>
    <col min="8" max="16384" width="9.140625" style="9"/>
  </cols>
  <sheetData>
    <row r="1" spans="1:7">
      <c r="C1" s="10"/>
      <c r="D1" s="10"/>
      <c r="E1" s="10"/>
    </row>
    <row r="2" spans="1:7" s="11" customFormat="1" ht="18.75">
      <c r="A2" s="200" t="s">
        <v>64</v>
      </c>
      <c r="B2" s="200"/>
      <c r="C2" s="200"/>
      <c r="D2" s="200"/>
      <c r="E2" s="200"/>
      <c r="F2" s="200"/>
    </row>
    <row r="3" spans="1:7" ht="16.5" thickBot="1">
      <c r="B3" s="12"/>
    </row>
    <row r="4" spans="1:7" s="7" customFormat="1" ht="78" customHeight="1" thickBot="1">
      <c r="A4" s="201" t="s">
        <v>0</v>
      </c>
      <c r="B4" s="201" t="s">
        <v>62</v>
      </c>
      <c r="C4" s="91" t="s">
        <v>193</v>
      </c>
      <c r="D4" s="91" t="s">
        <v>188</v>
      </c>
      <c r="E4" s="91" t="s">
        <v>189</v>
      </c>
      <c r="F4" s="203" t="s">
        <v>192</v>
      </c>
    </row>
    <row r="5" spans="1:7" s="13" customFormat="1" ht="147.75" customHeight="1" thickBot="1">
      <c r="A5" s="202"/>
      <c r="B5" s="202"/>
      <c r="C5" s="92" t="s">
        <v>184</v>
      </c>
      <c r="D5" s="184" t="s">
        <v>200</v>
      </c>
      <c r="E5" s="185" t="s">
        <v>190</v>
      </c>
      <c r="F5" s="204"/>
    </row>
    <row r="6" spans="1:7" s="14" customFormat="1" thickBot="1">
      <c r="A6" s="43">
        <v>1</v>
      </c>
      <c r="B6" s="44">
        <f t="shared" ref="B6:F6" si="0">A6+1</f>
        <v>2</v>
      </c>
      <c r="C6" s="44">
        <f t="shared" si="0"/>
        <v>3</v>
      </c>
      <c r="D6" s="44">
        <f t="shared" si="0"/>
        <v>4</v>
      </c>
      <c r="E6" s="44">
        <f t="shared" si="0"/>
        <v>5</v>
      </c>
      <c r="F6" s="44">
        <f t="shared" si="0"/>
        <v>6</v>
      </c>
    </row>
    <row r="7" spans="1:7" ht="16.5" thickBot="1">
      <c r="A7" s="142">
        <v>1</v>
      </c>
      <c r="B7" s="144" t="str">
        <f>'Исходные данные 2026'!B11</f>
        <v>Бутаковское сельское поселение</v>
      </c>
      <c r="C7" s="145">
        <f>2-('Исходные данные 2026'!E13+'Исходные данные 2026'!E19)/('Исходные данные 2026'!E11+'Исходные данные 2026'!E19)</f>
        <v>1.0985915492957745</v>
      </c>
      <c r="D7" s="145">
        <f>IF('Исходные данные 2026'!F11=1,1,IF('Исходные данные 2026'!F11=2,1.6,IF('Исходные данные 2026'!F11=3,3,IF('Исходные данные 2026'!F11=4,4,IF('Исходные данные 2026'!F11=5,5.1)))))</f>
        <v>4</v>
      </c>
      <c r="E7" s="146">
        <f>2-('Исходные данные 2026'!H11+'Исходные данные 2026'!H19)/('Исходные данные 2026'!H13+'Исходные данные 2026'!H19)</f>
        <v>1.4057607006473027</v>
      </c>
      <c r="F7" s="143">
        <f t="shared" ref="F7:F14" si="1">SUM(C7:E7)</f>
        <v>6.5043522499430768</v>
      </c>
      <c r="G7" s="19"/>
    </row>
    <row r="8" spans="1:7" s="15" customFormat="1" ht="16.5" thickBot="1">
      <c r="A8" s="89">
        <v>2</v>
      </c>
      <c r="B8" s="144" t="str">
        <f>'Исходные данные 2026'!B12</f>
        <v>Завьяловское сельское поселение</v>
      </c>
      <c r="C8" s="140">
        <f>2-('Исходные данные 2026'!E13+'Исходные данные 2026'!E19)/('Исходные данные 2026'!E12+'Исходные данные 2026'!E19)</f>
        <v>1.1351351351351351</v>
      </c>
      <c r="D8" s="145">
        <f>IF('Исходные данные 2026'!F12=1,1,IF('Исходные данные 2026'!F12=2,1.6,IF('Исходные данные 2026'!F12=3,3,IF('Исходные данные 2026'!F12=4,5,IF('Исходные данные 2026'!F12=5,5.1)))))</f>
        <v>3</v>
      </c>
      <c r="E8" s="141">
        <f>2-('Исходные данные 2026'!H12+'Исходные данные 2026'!H19)/('Исходные данные 2026'!H13+'Исходные данные 2026'!H19)</f>
        <v>1.4151203736358779</v>
      </c>
      <c r="F8" s="143">
        <f t="shared" si="1"/>
        <v>5.5502555087710128</v>
      </c>
      <c r="G8" s="19"/>
    </row>
    <row r="9" spans="1:7" s="15" customFormat="1" ht="16.5" thickBot="1">
      <c r="A9" s="90">
        <v>3</v>
      </c>
      <c r="B9" s="144" t="str">
        <f>'Исходные данные 2026'!B13</f>
        <v>Знаменское сельское поселение</v>
      </c>
      <c r="C9" s="140">
        <f>2-('Исходные данные 2026'!E13+'Исходные данные 2026'!E19)/('Исходные данные 2026'!E13+'Исходные данные 2026'!E19)</f>
        <v>1</v>
      </c>
      <c r="D9" s="145">
        <f>IF('Исходные данные 2026'!F13=1,0.5,IF('Исходные данные 2026'!F13=2,1.6,IF('Исходные данные 2026'!F13=3,3,IF('Исходные данные 2026'!F13=4,5,IF('Исходные данные 2026'!F13=5,5.1)))))</f>
        <v>0.5</v>
      </c>
      <c r="E9" s="141">
        <f>2-('Исходные данные 2026'!H13+'Исходные данные 2026'!H19)/('Исходные данные 2026'!H13+'Исходные данные 2026'!H19)</f>
        <v>1</v>
      </c>
      <c r="F9" s="143">
        <f t="shared" si="1"/>
        <v>2.5</v>
      </c>
      <c r="G9" s="19"/>
    </row>
    <row r="10" spans="1:7" s="15" customFormat="1" ht="16.5" thickBot="1">
      <c r="A10" s="89">
        <v>4</v>
      </c>
      <c r="B10" s="144" t="str">
        <f>'Исходные данные 2026'!B14</f>
        <v>Качуковское сельское поселение</v>
      </c>
      <c r="C10" s="140">
        <f>2-('Исходные данные 2026'!E13+'Исходные данные 2026'!E19)/('Исходные данные 2026'!E14+'Исходные данные 2026'!E19)</f>
        <v>1.0724637681159419</v>
      </c>
      <c r="D10" s="145">
        <f>IF('Исходные данные 2026'!F14=1,1,IF('Исходные данные 2026'!F14=2,1.6,IF('Исходные данные 2026'!F14=3,3,IF('Исходные данные 2026'!F14=4,5,IF('Исходные данные 2026'!F14=5,5)))))</f>
        <v>5</v>
      </c>
      <c r="E10" s="141">
        <f>2-('Исходные данные 2026'!H14+'Исходные данные 2026'!H19)/('Исходные данные 2026'!H13+'Исходные данные 2026'!H19)</f>
        <v>1.4220857060160537</v>
      </c>
      <c r="F10" s="143">
        <f t="shared" si="1"/>
        <v>7.4945494741319951</v>
      </c>
      <c r="G10" s="19"/>
    </row>
    <row r="11" spans="1:7" s="15" customFormat="1" ht="16.5" thickBot="1">
      <c r="A11" s="90">
        <v>5</v>
      </c>
      <c r="B11" s="144" t="str">
        <f>'Исходные данные 2026'!B15</f>
        <v>Новоягодинское сельское поселение</v>
      </c>
      <c r="C11" s="140">
        <f>2-('Исходные данные 2026'!E13+'Исходные данные 2026'!E19)/('Исходные данные 2026'!E15+'Исходные данные 2026'!E19)</f>
        <v>1.2470588235294118</v>
      </c>
      <c r="D11" s="145">
        <f>IF('Исходные данные 2026'!F15=1,1,IF('Исходные данные 2026'!F15=2,1.6,IF('Исходные данные 2026'!F15=3,3,IF('Исходные данные 2026'!F15=4,4,IF('Исходные данные 2026'!F15=5,5.1)))))</f>
        <v>4</v>
      </c>
      <c r="E11" s="141">
        <f>2-('Исходные данные 2026'!H15+'Исходные данные 2026'!H19)/('Исходные данные 2026'!H13+'Исходные данные 2026'!H19)</f>
        <v>1.4203720943985108</v>
      </c>
      <c r="F11" s="143">
        <f t="shared" si="1"/>
        <v>6.6674309179279225</v>
      </c>
      <c r="G11" s="19"/>
    </row>
    <row r="12" spans="1:7" s="15" customFormat="1" ht="16.5" thickBot="1">
      <c r="A12" s="89">
        <v>6</v>
      </c>
      <c r="B12" s="144" t="str">
        <f>'Исходные данные 2026'!B16</f>
        <v>Семеновское сельское поселение</v>
      </c>
      <c r="C12" s="140">
        <f>2-('Исходные данные 2026'!E13+'Исходные данные 2026'!E19)/('Исходные данные 2026'!E16+'Исходные данные 2026'!E19)</f>
        <v>1.035175879396985</v>
      </c>
      <c r="D12" s="145">
        <f>IF('Исходные данные 2026'!F16=1,1,IF('Исходные данные 2026'!F16=2,1.6,IF('Исходные данные 2026'!F16=3,3,IF('Исходные данные 2026'!F16=4,4,IF('Исходные данные 2026'!F16=5,5.1)))))</f>
        <v>4</v>
      </c>
      <c r="E12" s="141">
        <f>2-('Исходные данные 2026'!H16+'Исходные данные 2026'!H19)/('Исходные данные 2026'!H13+'Исходные данные 2026'!H19)</f>
        <v>1.3778484295460263</v>
      </c>
      <c r="F12" s="143">
        <f t="shared" si="1"/>
        <v>6.4130243089430117</v>
      </c>
      <c r="G12" s="19"/>
    </row>
    <row r="13" spans="1:7" s="15" customFormat="1" ht="16.5" thickBot="1">
      <c r="A13" s="90">
        <v>7</v>
      </c>
      <c r="B13" s="144" t="str">
        <f>'Исходные данные 2026'!B17</f>
        <v>Чередовское сельское поселение</v>
      </c>
      <c r="C13" s="140">
        <f>2-('Исходные данные 2026'!E13+'Исходные данные 2026'!E19)/('Исходные данные 2026'!E17+'Исходные данные 2026'!E19)</f>
        <v>1.1232876712328768</v>
      </c>
      <c r="D13" s="145">
        <f>IF('Исходные данные 2026'!F17=1,1,IF('Исходные данные 2026'!F17=2,1.6,IF('Исходные данные 2026'!F17=3,3,IF('Исходные данные 2026'!F17=4,5,IF('Исходные данные 2026'!F17=6,6)))))</f>
        <v>6</v>
      </c>
      <c r="E13" s="141">
        <f>2-('Исходные данные 2026'!H17+'Исходные данные 2026'!H19)/('Исходные данные 2026'!H13+'Исходные данные 2026'!H19)</f>
        <v>1.4208209688692901</v>
      </c>
      <c r="F13" s="143">
        <f t="shared" si="1"/>
        <v>8.5441086401021664</v>
      </c>
      <c r="G13" s="19"/>
    </row>
    <row r="14" spans="1:7" s="15" customFormat="1">
      <c r="A14" s="89">
        <v>8</v>
      </c>
      <c r="B14" s="144" t="str">
        <f>'Исходные данные 2026'!B18</f>
        <v>Шуховское сельское поселение</v>
      </c>
      <c r="C14" s="140">
        <f>2-('Исходные данные 2026'!E13+'Исходные данные 2026'!E19)/('Исходные данные 2026'!E18+'Исходные данные 2026'!E19)</f>
        <v>1.1312217194570136</v>
      </c>
      <c r="D14" s="145">
        <f>IF('Исходные данные 2026'!F18=1,1,IF('Исходные данные 2026'!F18=2,1.6,IF('Исходные данные 2026'!F18=3,3,IF('Исходные данные 2026'!F18=4,5,IF('Исходные данные 2026'!F18=5,5.1)))))</f>
        <v>3</v>
      </c>
      <c r="E14" s="141">
        <f>2-('Исходные данные 2026'!H18+'Исходные данные 2026'!H19)/('Исходные данные 2026'!H13+'Исходные данные 2026'!H19)</f>
        <v>1.4054799878325972</v>
      </c>
      <c r="F14" s="143">
        <f t="shared" si="1"/>
        <v>5.5367017072896108</v>
      </c>
      <c r="G14" s="19"/>
    </row>
    <row r="16" spans="1:7" ht="116.25" customHeight="1">
      <c r="A16" s="205"/>
      <c r="B16" s="205"/>
      <c r="C16" s="205"/>
      <c r="D16" s="205"/>
      <c r="E16" s="205"/>
      <c r="F16" s="205"/>
    </row>
  </sheetData>
  <sheetProtection selectLockedCells="1" selectUnlockedCells="1"/>
  <mergeCells count="5">
    <mergeCell ref="A2:F2"/>
    <mergeCell ref="A4:A5"/>
    <mergeCell ref="B4:B5"/>
    <mergeCell ref="F4:F5"/>
    <mergeCell ref="A16:F16"/>
  </mergeCells>
  <pageMargins left="0.88" right="0.27559055118110237" top="0.51181102362204722" bottom="0.74803149606299213" header="0.27559055118110237" footer="0.51181102362204722"/>
  <pageSetup paperSize="9" scale="94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M22"/>
  <sheetViews>
    <sheetView tabSelected="1" topLeftCell="D1" zoomScale="80" zoomScaleNormal="80" workbookViewId="0">
      <pane xSplit="24285" topLeftCell="GK1"/>
      <selection activeCell="K3" sqref="K3:K5"/>
      <selection pane="topRight" activeCell="GJ3" sqref="GJ3:GJ5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15.28515625" style="16" customWidth="1"/>
    <col min="196" max="16384" width="15.28515625" style="16"/>
  </cols>
  <sheetData>
    <row r="1" spans="1:194" s="17" customFormat="1" ht="22.5" customHeight="1">
      <c r="A1" s="123"/>
      <c r="B1" s="123" t="s">
        <v>194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</row>
    <row r="2" spans="1:194" s="5" customFormat="1" ht="16.5" thickBot="1"/>
    <row r="3" spans="1:194" s="37" customFormat="1" ht="34.5" customHeight="1" thickBot="1">
      <c r="A3" s="220" t="s">
        <v>7</v>
      </c>
      <c r="B3" s="223" t="s">
        <v>59</v>
      </c>
      <c r="C3" s="226" t="s">
        <v>9</v>
      </c>
      <c r="D3" s="227"/>
      <c r="E3" s="227"/>
      <c r="F3" s="228"/>
      <c r="G3" s="238" t="s">
        <v>60</v>
      </c>
      <c r="H3" s="239"/>
      <c r="I3" s="239"/>
      <c r="J3" s="240"/>
      <c r="K3" s="246" t="s">
        <v>82</v>
      </c>
      <c r="L3" s="70" t="s">
        <v>52</v>
      </c>
      <c r="M3" s="243" t="s">
        <v>78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  <c r="BD3" s="244"/>
      <c r="BE3" s="244"/>
      <c r="BF3" s="244"/>
      <c r="BG3" s="244"/>
      <c r="BH3" s="244"/>
      <c r="BI3" s="244"/>
      <c r="BJ3" s="244"/>
      <c r="BK3" s="244"/>
      <c r="BL3" s="244"/>
      <c r="BM3" s="244"/>
      <c r="BN3" s="244"/>
      <c r="BO3" s="244"/>
      <c r="BP3" s="244"/>
      <c r="BQ3" s="244"/>
      <c r="BR3" s="244"/>
      <c r="BS3" s="245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  <c r="FF3" s="126"/>
      <c r="FG3" s="126"/>
      <c r="FH3" s="126"/>
      <c r="FI3" s="126"/>
      <c r="FJ3" s="126"/>
      <c r="FK3" s="126"/>
      <c r="FL3" s="126"/>
      <c r="FM3" s="126"/>
      <c r="FN3" s="126"/>
      <c r="FO3" s="126"/>
      <c r="FP3" s="126"/>
      <c r="FQ3" s="126"/>
      <c r="FR3" s="126"/>
      <c r="FS3" s="126"/>
      <c r="FT3" s="126"/>
      <c r="FU3" s="126"/>
      <c r="FV3" s="126"/>
      <c r="FW3" s="126"/>
      <c r="FX3" s="126"/>
      <c r="FY3" s="126"/>
      <c r="FZ3" s="126"/>
      <c r="GA3" s="126"/>
      <c r="GB3" s="126"/>
      <c r="GC3" s="126"/>
      <c r="GD3" s="126"/>
      <c r="GE3" s="126"/>
      <c r="GF3" s="126"/>
      <c r="GG3" s="126"/>
      <c r="GH3" s="126"/>
      <c r="GI3" s="126"/>
      <c r="GJ3" s="209" t="s">
        <v>83</v>
      </c>
      <c r="GK3" s="217" t="s">
        <v>84</v>
      </c>
      <c r="GL3" s="212" t="s">
        <v>81</v>
      </c>
    </row>
    <row r="4" spans="1:194" s="27" customFormat="1" ht="29.25" customHeight="1">
      <c r="A4" s="221"/>
      <c r="B4" s="224"/>
      <c r="C4" s="231" t="s">
        <v>10</v>
      </c>
      <c r="D4" s="232"/>
      <c r="E4" s="231" t="s">
        <v>11</v>
      </c>
      <c r="F4" s="232"/>
      <c r="G4" s="234" t="s">
        <v>12</v>
      </c>
      <c r="H4" s="215" t="s">
        <v>13</v>
      </c>
      <c r="I4" s="215" t="s">
        <v>65</v>
      </c>
      <c r="J4" s="241" t="s">
        <v>68</v>
      </c>
      <c r="K4" s="247"/>
      <c r="L4" s="236" t="s">
        <v>79</v>
      </c>
      <c r="M4" s="206" t="s">
        <v>14</v>
      </c>
      <c r="N4" s="207"/>
      <c r="O4" s="207"/>
      <c r="P4" s="207"/>
      <c r="Q4" s="233"/>
      <c r="R4" s="206" t="s">
        <v>15</v>
      </c>
      <c r="S4" s="207"/>
      <c r="T4" s="207"/>
      <c r="U4" s="207"/>
      <c r="V4" s="207"/>
      <c r="W4" s="233"/>
      <c r="X4" s="206" t="s">
        <v>16</v>
      </c>
      <c r="Y4" s="207"/>
      <c r="Z4" s="207"/>
      <c r="AA4" s="207"/>
      <c r="AB4" s="207"/>
      <c r="AC4" s="233"/>
      <c r="AD4" s="206" t="s">
        <v>17</v>
      </c>
      <c r="AE4" s="207"/>
      <c r="AF4" s="207"/>
      <c r="AG4" s="207"/>
      <c r="AH4" s="207"/>
      <c r="AI4" s="233"/>
      <c r="AJ4" s="206" t="s">
        <v>18</v>
      </c>
      <c r="AK4" s="207"/>
      <c r="AL4" s="207"/>
      <c r="AM4" s="207"/>
      <c r="AN4" s="207"/>
      <c r="AO4" s="233"/>
      <c r="AP4" s="206" t="s">
        <v>19</v>
      </c>
      <c r="AQ4" s="207"/>
      <c r="AR4" s="207"/>
      <c r="AS4" s="207"/>
      <c r="AT4" s="207"/>
      <c r="AU4" s="233"/>
      <c r="AV4" s="206" t="s">
        <v>20</v>
      </c>
      <c r="AW4" s="207"/>
      <c r="AX4" s="207"/>
      <c r="AY4" s="207"/>
      <c r="AZ4" s="207"/>
      <c r="BA4" s="233"/>
      <c r="BB4" s="206" t="s">
        <v>21</v>
      </c>
      <c r="BC4" s="207"/>
      <c r="BD4" s="207"/>
      <c r="BE4" s="207"/>
      <c r="BF4" s="207"/>
      <c r="BG4" s="233"/>
      <c r="BH4" s="206" t="s">
        <v>22</v>
      </c>
      <c r="BI4" s="207"/>
      <c r="BJ4" s="207"/>
      <c r="BK4" s="207"/>
      <c r="BL4" s="207"/>
      <c r="BM4" s="233"/>
      <c r="BN4" s="206" t="s">
        <v>23</v>
      </c>
      <c r="BO4" s="207"/>
      <c r="BP4" s="207"/>
      <c r="BQ4" s="207"/>
      <c r="BR4" s="207"/>
      <c r="BS4" s="208"/>
      <c r="BT4" s="206" t="s">
        <v>86</v>
      </c>
      <c r="BU4" s="207"/>
      <c r="BV4" s="207"/>
      <c r="BW4" s="207"/>
      <c r="BX4" s="207"/>
      <c r="BY4" s="208"/>
      <c r="BZ4" s="206" t="s">
        <v>89</v>
      </c>
      <c r="CA4" s="207"/>
      <c r="CB4" s="207"/>
      <c r="CC4" s="207"/>
      <c r="CD4" s="207"/>
      <c r="CE4" s="208"/>
      <c r="CF4" s="206" t="s">
        <v>90</v>
      </c>
      <c r="CG4" s="207"/>
      <c r="CH4" s="207"/>
      <c r="CI4" s="207"/>
      <c r="CJ4" s="207"/>
      <c r="CK4" s="208"/>
      <c r="CL4" s="206" t="s">
        <v>95</v>
      </c>
      <c r="CM4" s="207"/>
      <c r="CN4" s="207"/>
      <c r="CO4" s="207"/>
      <c r="CP4" s="207"/>
      <c r="CQ4" s="208"/>
      <c r="CR4" s="206" t="s">
        <v>98</v>
      </c>
      <c r="CS4" s="207"/>
      <c r="CT4" s="207"/>
      <c r="CU4" s="207"/>
      <c r="CV4" s="207"/>
      <c r="CW4" s="208"/>
      <c r="CX4" s="206" t="s">
        <v>101</v>
      </c>
      <c r="CY4" s="207"/>
      <c r="CZ4" s="207"/>
      <c r="DA4" s="207"/>
      <c r="DB4" s="207"/>
      <c r="DC4" s="208"/>
      <c r="DD4" s="206" t="s">
        <v>104</v>
      </c>
      <c r="DE4" s="207"/>
      <c r="DF4" s="207"/>
      <c r="DG4" s="207"/>
      <c r="DH4" s="207"/>
      <c r="DI4" s="208"/>
      <c r="DJ4" s="206" t="s">
        <v>107</v>
      </c>
      <c r="DK4" s="207"/>
      <c r="DL4" s="207"/>
      <c r="DM4" s="207"/>
      <c r="DN4" s="207"/>
      <c r="DO4" s="208"/>
      <c r="DP4" s="206" t="s">
        <v>110</v>
      </c>
      <c r="DQ4" s="207"/>
      <c r="DR4" s="207"/>
      <c r="DS4" s="207"/>
      <c r="DT4" s="207"/>
      <c r="DU4" s="208"/>
      <c r="DV4" s="206" t="s">
        <v>113</v>
      </c>
      <c r="DW4" s="207"/>
      <c r="DX4" s="207"/>
      <c r="DY4" s="207"/>
      <c r="DZ4" s="207"/>
      <c r="EA4" s="208"/>
      <c r="EB4" s="206" t="s">
        <v>135</v>
      </c>
      <c r="EC4" s="207"/>
      <c r="ED4" s="207"/>
      <c r="EE4" s="207"/>
      <c r="EF4" s="207"/>
      <c r="EG4" s="208"/>
      <c r="EH4" s="206" t="s">
        <v>139</v>
      </c>
      <c r="EI4" s="207"/>
      <c r="EJ4" s="207"/>
      <c r="EK4" s="207"/>
      <c r="EL4" s="207"/>
      <c r="EM4" s="208"/>
      <c r="EN4" s="206" t="s">
        <v>143</v>
      </c>
      <c r="EO4" s="207"/>
      <c r="EP4" s="207"/>
      <c r="EQ4" s="207"/>
      <c r="ER4" s="207"/>
      <c r="ES4" s="208"/>
      <c r="ET4" s="206" t="s">
        <v>147</v>
      </c>
      <c r="EU4" s="207"/>
      <c r="EV4" s="207"/>
      <c r="EW4" s="207"/>
      <c r="EX4" s="207"/>
      <c r="EY4" s="208"/>
      <c r="EZ4" s="206" t="s">
        <v>151</v>
      </c>
      <c r="FA4" s="207"/>
      <c r="FB4" s="207"/>
      <c r="FC4" s="207"/>
      <c r="FD4" s="207"/>
      <c r="FE4" s="208"/>
      <c r="FF4" s="206" t="s">
        <v>155</v>
      </c>
      <c r="FG4" s="207"/>
      <c r="FH4" s="207"/>
      <c r="FI4" s="207"/>
      <c r="FJ4" s="207"/>
      <c r="FK4" s="208"/>
      <c r="FL4" s="206" t="s">
        <v>159</v>
      </c>
      <c r="FM4" s="207"/>
      <c r="FN4" s="207"/>
      <c r="FO4" s="207"/>
      <c r="FP4" s="207"/>
      <c r="FQ4" s="208"/>
      <c r="FR4" s="206" t="s">
        <v>163</v>
      </c>
      <c r="FS4" s="207"/>
      <c r="FT4" s="207"/>
      <c r="FU4" s="207"/>
      <c r="FV4" s="207"/>
      <c r="FW4" s="208"/>
      <c r="FX4" s="206" t="s">
        <v>167</v>
      </c>
      <c r="FY4" s="207"/>
      <c r="FZ4" s="207"/>
      <c r="GA4" s="207"/>
      <c r="GB4" s="207"/>
      <c r="GC4" s="208"/>
      <c r="GD4" s="206" t="s">
        <v>170</v>
      </c>
      <c r="GE4" s="207"/>
      <c r="GF4" s="207"/>
      <c r="GG4" s="207"/>
      <c r="GH4" s="207"/>
      <c r="GI4" s="208"/>
      <c r="GJ4" s="210"/>
      <c r="GK4" s="218"/>
      <c r="GL4" s="213"/>
    </row>
    <row r="5" spans="1:194" s="27" customFormat="1" ht="246" customHeight="1" thickBot="1">
      <c r="A5" s="221"/>
      <c r="B5" s="225"/>
      <c r="C5" s="229" t="s">
        <v>71</v>
      </c>
      <c r="D5" s="230"/>
      <c r="E5" s="229" t="s">
        <v>76</v>
      </c>
      <c r="F5" s="230"/>
      <c r="G5" s="235"/>
      <c r="H5" s="216"/>
      <c r="I5" s="216"/>
      <c r="J5" s="242"/>
      <c r="K5" s="248"/>
      <c r="L5" s="237"/>
      <c r="M5" s="67" t="s">
        <v>58</v>
      </c>
      <c r="N5" s="132" t="s">
        <v>125</v>
      </c>
      <c r="O5" s="68" t="s">
        <v>66</v>
      </c>
      <c r="P5" s="68" t="s">
        <v>80</v>
      </c>
      <c r="Q5" s="69" t="s">
        <v>24</v>
      </c>
      <c r="R5" s="67" t="s">
        <v>25</v>
      </c>
      <c r="S5" s="132" t="s">
        <v>126</v>
      </c>
      <c r="T5" s="68" t="s">
        <v>58</v>
      </c>
      <c r="U5" s="68" t="s">
        <v>66</v>
      </c>
      <c r="V5" s="68" t="s">
        <v>80</v>
      </c>
      <c r="W5" s="69" t="s">
        <v>26</v>
      </c>
      <c r="X5" s="67" t="s">
        <v>27</v>
      </c>
      <c r="Y5" s="132" t="s">
        <v>127</v>
      </c>
      <c r="Z5" s="68" t="s">
        <v>58</v>
      </c>
      <c r="AA5" s="68" t="s">
        <v>66</v>
      </c>
      <c r="AB5" s="68" t="s">
        <v>80</v>
      </c>
      <c r="AC5" s="69" t="s">
        <v>28</v>
      </c>
      <c r="AD5" s="67" t="s">
        <v>29</v>
      </c>
      <c r="AE5" s="132" t="s">
        <v>128</v>
      </c>
      <c r="AF5" s="68" t="s">
        <v>58</v>
      </c>
      <c r="AG5" s="68" t="s">
        <v>66</v>
      </c>
      <c r="AH5" s="68" t="s">
        <v>80</v>
      </c>
      <c r="AI5" s="69" t="s">
        <v>30</v>
      </c>
      <c r="AJ5" s="67" t="s">
        <v>31</v>
      </c>
      <c r="AK5" s="132" t="s">
        <v>129</v>
      </c>
      <c r="AL5" s="68" t="s">
        <v>58</v>
      </c>
      <c r="AM5" s="68" t="s">
        <v>66</v>
      </c>
      <c r="AN5" s="68" t="s">
        <v>80</v>
      </c>
      <c r="AO5" s="69" t="s">
        <v>32</v>
      </c>
      <c r="AP5" s="67" t="s">
        <v>33</v>
      </c>
      <c r="AQ5" s="132" t="s">
        <v>130</v>
      </c>
      <c r="AR5" s="68" t="s">
        <v>58</v>
      </c>
      <c r="AS5" s="68" t="s">
        <v>66</v>
      </c>
      <c r="AT5" s="68" t="s">
        <v>80</v>
      </c>
      <c r="AU5" s="69" t="s">
        <v>34</v>
      </c>
      <c r="AV5" s="67" t="s">
        <v>35</v>
      </c>
      <c r="AW5" s="132" t="s">
        <v>131</v>
      </c>
      <c r="AX5" s="68" t="s">
        <v>58</v>
      </c>
      <c r="AY5" s="68" t="s">
        <v>66</v>
      </c>
      <c r="AZ5" s="68" t="s">
        <v>80</v>
      </c>
      <c r="BA5" s="69" t="s">
        <v>36</v>
      </c>
      <c r="BB5" s="67" t="s">
        <v>37</v>
      </c>
      <c r="BC5" s="132" t="s">
        <v>132</v>
      </c>
      <c r="BD5" s="68" t="s">
        <v>58</v>
      </c>
      <c r="BE5" s="68" t="s">
        <v>66</v>
      </c>
      <c r="BF5" s="68" t="s">
        <v>80</v>
      </c>
      <c r="BG5" s="69" t="s">
        <v>38</v>
      </c>
      <c r="BH5" s="67" t="s">
        <v>39</v>
      </c>
      <c r="BI5" s="132" t="s">
        <v>133</v>
      </c>
      <c r="BJ5" s="68" t="s">
        <v>58</v>
      </c>
      <c r="BK5" s="68" t="s">
        <v>66</v>
      </c>
      <c r="BL5" s="68" t="s">
        <v>80</v>
      </c>
      <c r="BM5" s="69" t="s">
        <v>40</v>
      </c>
      <c r="BN5" s="67" t="s">
        <v>41</v>
      </c>
      <c r="BO5" s="132" t="s">
        <v>134</v>
      </c>
      <c r="BP5" s="68" t="s">
        <v>58</v>
      </c>
      <c r="BQ5" s="68" t="s">
        <v>66</v>
      </c>
      <c r="BR5" s="68" t="s">
        <v>80</v>
      </c>
      <c r="BS5" s="83" t="s">
        <v>42</v>
      </c>
      <c r="BT5" s="67" t="s">
        <v>87</v>
      </c>
      <c r="BU5" s="132" t="s">
        <v>116</v>
      </c>
      <c r="BV5" s="130" t="s">
        <v>58</v>
      </c>
      <c r="BW5" s="130" t="s">
        <v>66</v>
      </c>
      <c r="BX5" s="130" t="s">
        <v>80</v>
      </c>
      <c r="BY5" s="131" t="s">
        <v>88</v>
      </c>
      <c r="BZ5" s="67" t="s">
        <v>91</v>
      </c>
      <c r="CA5" s="132" t="s">
        <v>117</v>
      </c>
      <c r="CB5" s="130" t="s">
        <v>58</v>
      </c>
      <c r="CC5" s="130" t="s">
        <v>66</v>
      </c>
      <c r="CD5" s="130" t="s">
        <v>80</v>
      </c>
      <c r="CE5" s="131" t="s">
        <v>92</v>
      </c>
      <c r="CF5" s="67" t="s">
        <v>93</v>
      </c>
      <c r="CG5" s="132" t="s">
        <v>118</v>
      </c>
      <c r="CH5" s="130" t="s">
        <v>58</v>
      </c>
      <c r="CI5" s="130" t="s">
        <v>66</v>
      </c>
      <c r="CJ5" s="130" t="s">
        <v>80</v>
      </c>
      <c r="CK5" s="131" t="s">
        <v>94</v>
      </c>
      <c r="CL5" s="67" t="s">
        <v>96</v>
      </c>
      <c r="CM5" s="132" t="s">
        <v>119</v>
      </c>
      <c r="CN5" s="130" t="s">
        <v>58</v>
      </c>
      <c r="CO5" s="130" t="s">
        <v>66</v>
      </c>
      <c r="CP5" s="130" t="s">
        <v>80</v>
      </c>
      <c r="CQ5" s="131" t="s">
        <v>97</v>
      </c>
      <c r="CR5" s="67" t="s">
        <v>99</v>
      </c>
      <c r="CS5" s="132" t="s">
        <v>120</v>
      </c>
      <c r="CT5" s="130" t="s">
        <v>58</v>
      </c>
      <c r="CU5" s="130" t="s">
        <v>66</v>
      </c>
      <c r="CV5" s="130" t="s">
        <v>80</v>
      </c>
      <c r="CW5" s="131" t="s">
        <v>100</v>
      </c>
      <c r="CX5" s="67" t="s">
        <v>102</v>
      </c>
      <c r="CY5" s="132" t="s">
        <v>121</v>
      </c>
      <c r="CZ5" s="130" t="s">
        <v>58</v>
      </c>
      <c r="DA5" s="130" t="s">
        <v>66</v>
      </c>
      <c r="DB5" s="130" t="s">
        <v>80</v>
      </c>
      <c r="DC5" s="131" t="s">
        <v>103</v>
      </c>
      <c r="DD5" s="67" t="s">
        <v>105</v>
      </c>
      <c r="DE5" s="132" t="s">
        <v>122</v>
      </c>
      <c r="DF5" s="130" t="s">
        <v>58</v>
      </c>
      <c r="DG5" s="130" t="s">
        <v>66</v>
      </c>
      <c r="DH5" s="130" t="s">
        <v>80</v>
      </c>
      <c r="DI5" s="131" t="s">
        <v>106</v>
      </c>
      <c r="DJ5" s="67" t="s">
        <v>108</v>
      </c>
      <c r="DK5" s="130" t="s">
        <v>67</v>
      </c>
      <c r="DL5" s="130" t="s">
        <v>58</v>
      </c>
      <c r="DM5" s="130" t="s">
        <v>66</v>
      </c>
      <c r="DN5" s="130" t="s">
        <v>80</v>
      </c>
      <c r="DO5" s="131" t="s">
        <v>109</v>
      </c>
      <c r="DP5" s="67" t="s">
        <v>111</v>
      </c>
      <c r="DQ5" s="132" t="s">
        <v>123</v>
      </c>
      <c r="DR5" s="130" t="s">
        <v>58</v>
      </c>
      <c r="DS5" s="130" t="s">
        <v>66</v>
      </c>
      <c r="DT5" s="130" t="s">
        <v>80</v>
      </c>
      <c r="DU5" s="131" t="s">
        <v>112</v>
      </c>
      <c r="DV5" s="67" t="s">
        <v>115</v>
      </c>
      <c r="DW5" s="132" t="s">
        <v>124</v>
      </c>
      <c r="DX5" s="130" t="s">
        <v>58</v>
      </c>
      <c r="DY5" s="130" t="s">
        <v>66</v>
      </c>
      <c r="DZ5" s="130" t="s">
        <v>80</v>
      </c>
      <c r="EA5" s="131" t="s">
        <v>114</v>
      </c>
      <c r="EB5" s="67" t="s">
        <v>136</v>
      </c>
      <c r="EC5" s="133" t="s">
        <v>137</v>
      </c>
      <c r="ED5" s="133" t="s">
        <v>58</v>
      </c>
      <c r="EE5" s="133" t="s">
        <v>66</v>
      </c>
      <c r="EF5" s="133" t="s">
        <v>80</v>
      </c>
      <c r="EG5" s="134" t="s">
        <v>138</v>
      </c>
      <c r="EH5" s="67" t="s">
        <v>140</v>
      </c>
      <c r="EI5" s="133" t="s">
        <v>141</v>
      </c>
      <c r="EJ5" s="133" t="s">
        <v>58</v>
      </c>
      <c r="EK5" s="133" t="s">
        <v>66</v>
      </c>
      <c r="EL5" s="133" t="s">
        <v>80</v>
      </c>
      <c r="EM5" s="134" t="s">
        <v>142</v>
      </c>
      <c r="EN5" s="67" t="s">
        <v>144</v>
      </c>
      <c r="EO5" s="133" t="s">
        <v>145</v>
      </c>
      <c r="EP5" s="133" t="s">
        <v>58</v>
      </c>
      <c r="EQ5" s="133" t="s">
        <v>66</v>
      </c>
      <c r="ER5" s="133" t="s">
        <v>80</v>
      </c>
      <c r="ES5" s="134" t="s">
        <v>146</v>
      </c>
      <c r="ET5" s="67" t="s">
        <v>148</v>
      </c>
      <c r="EU5" s="133" t="s">
        <v>149</v>
      </c>
      <c r="EV5" s="133" t="s">
        <v>58</v>
      </c>
      <c r="EW5" s="133" t="s">
        <v>66</v>
      </c>
      <c r="EX5" s="133" t="s">
        <v>80</v>
      </c>
      <c r="EY5" s="134" t="s">
        <v>150</v>
      </c>
      <c r="EZ5" s="67" t="s">
        <v>152</v>
      </c>
      <c r="FA5" s="133" t="s">
        <v>153</v>
      </c>
      <c r="FB5" s="133" t="s">
        <v>58</v>
      </c>
      <c r="FC5" s="133" t="s">
        <v>66</v>
      </c>
      <c r="FD5" s="133" t="s">
        <v>80</v>
      </c>
      <c r="FE5" s="134" t="s">
        <v>154</v>
      </c>
      <c r="FF5" s="67" t="s">
        <v>156</v>
      </c>
      <c r="FG5" s="133" t="s">
        <v>157</v>
      </c>
      <c r="FH5" s="133" t="s">
        <v>58</v>
      </c>
      <c r="FI5" s="133" t="s">
        <v>66</v>
      </c>
      <c r="FJ5" s="133" t="s">
        <v>80</v>
      </c>
      <c r="FK5" s="134" t="s">
        <v>158</v>
      </c>
      <c r="FL5" s="67" t="s">
        <v>160</v>
      </c>
      <c r="FM5" s="133" t="s">
        <v>161</v>
      </c>
      <c r="FN5" s="133" t="s">
        <v>58</v>
      </c>
      <c r="FO5" s="133" t="s">
        <v>66</v>
      </c>
      <c r="FP5" s="133" t="s">
        <v>80</v>
      </c>
      <c r="FQ5" s="134" t="s">
        <v>162</v>
      </c>
      <c r="FR5" s="67" t="s">
        <v>164</v>
      </c>
      <c r="FS5" s="133" t="s">
        <v>165</v>
      </c>
      <c r="FT5" s="133" t="s">
        <v>58</v>
      </c>
      <c r="FU5" s="133" t="s">
        <v>66</v>
      </c>
      <c r="FV5" s="133" t="s">
        <v>80</v>
      </c>
      <c r="FW5" s="134" t="s">
        <v>166</v>
      </c>
      <c r="FX5" s="67" t="s">
        <v>168</v>
      </c>
      <c r="FY5" s="133" t="s">
        <v>172</v>
      </c>
      <c r="FZ5" s="133" t="s">
        <v>58</v>
      </c>
      <c r="GA5" s="133" t="s">
        <v>66</v>
      </c>
      <c r="GB5" s="133" t="s">
        <v>80</v>
      </c>
      <c r="GC5" s="134" t="s">
        <v>169</v>
      </c>
      <c r="GD5" s="67" t="s">
        <v>171</v>
      </c>
      <c r="GE5" s="133" t="s">
        <v>173</v>
      </c>
      <c r="GF5" s="133" t="s">
        <v>58</v>
      </c>
      <c r="GG5" s="133" t="s">
        <v>66</v>
      </c>
      <c r="GH5" s="133" t="s">
        <v>80</v>
      </c>
      <c r="GI5" s="134" t="s">
        <v>174</v>
      </c>
      <c r="GJ5" s="211"/>
      <c r="GK5" s="219"/>
      <c r="GL5" s="214"/>
    </row>
    <row r="6" spans="1:194" s="27" customFormat="1" ht="19.5" thickBot="1">
      <c r="A6" s="222"/>
      <c r="B6" s="105" t="s">
        <v>43</v>
      </c>
      <c r="C6" s="72" t="s">
        <v>44</v>
      </c>
      <c r="D6" s="73" t="s">
        <v>45</v>
      </c>
      <c r="E6" s="72" t="s">
        <v>46</v>
      </c>
      <c r="F6" s="73" t="s">
        <v>47</v>
      </c>
      <c r="G6" s="66" t="s">
        <v>1</v>
      </c>
      <c r="H6" s="65" t="s">
        <v>2</v>
      </c>
      <c r="I6" s="55" t="s">
        <v>74</v>
      </c>
      <c r="J6" s="112" t="s">
        <v>70</v>
      </c>
      <c r="K6" s="117" t="s">
        <v>48</v>
      </c>
      <c r="L6" s="71" t="s">
        <v>49</v>
      </c>
      <c r="M6" s="72" t="s">
        <v>48</v>
      </c>
      <c r="N6" s="65" t="s">
        <v>56</v>
      </c>
      <c r="O6" s="65" t="s">
        <v>55</v>
      </c>
      <c r="P6" s="65" t="s">
        <v>54</v>
      </c>
      <c r="Q6" s="73" t="s">
        <v>53</v>
      </c>
      <c r="R6" s="72" t="s">
        <v>47</v>
      </c>
      <c r="S6" s="65" t="s">
        <v>56</v>
      </c>
      <c r="T6" s="65" t="s">
        <v>48</v>
      </c>
      <c r="U6" s="65" t="s">
        <v>55</v>
      </c>
      <c r="V6" s="65" t="s">
        <v>54</v>
      </c>
      <c r="W6" s="73" t="s">
        <v>53</v>
      </c>
      <c r="X6" s="72" t="s">
        <v>47</v>
      </c>
      <c r="Y6" s="65" t="s">
        <v>56</v>
      </c>
      <c r="Z6" s="65" t="s">
        <v>48</v>
      </c>
      <c r="AA6" s="65" t="s">
        <v>55</v>
      </c>
      <c r="AB6" s="65" t="s">
        <v>54</v>
      </c>
      <c r="AC6" s="73" t="s">
        <v>53</v>
      </c>
      <c r="AD6" s="72" t="s">
        <v>47</v>
      </c>
      <c r="AE6" s="65" t="s">
        <v>56</v>
      </c>
      <c r="AF6" s="65" t="s">
        <v>48</v>
      </c>
      <c r="AG6" s="65" t="s">
        <v>55</v>
      </c>
      <c r="AH6" s="65" t="s">
        <v>54</v>
      </c>
      <c r="AI6" s="73" t="s">
        <v>53</v>
      </c>
      <c r="AJ6" s="72" t="s">
        <v>47</v>
      </c>
      <c r="AK6" s="65" t="s">
        <v>56</v>
      </c>
      <c r="AL6" s="65" t="s">
        <v>48</v>
      </c>
      <c r="AM6" s="65" t="s">
        <v>55</v>
      </c>
      <c r="AN6" s="65" t="s">
        <v>54</v>
      </c>
      <c r="AO6" s="73" t="s">
        <v>53</v>
      </c>
      <c r="AP6" s="72" t="s">
        <v>47</v>
      </c>
      <c r="AQ6" s="65" t="s">
        <v>56</v>
      </c>
      <c r="AR6" s="65" t="s">
        <v>48</v>
      </c>
      <c r="AS6" s="65" t="s">
        <v>55</v>
      </c>
      <c r="AT6" s="65" t="s">
        <v>54</v>
      </c>
      <c r="AU6" s="73" t="s">
        <v>53</v>
      </c>
      <c r="AV6" s="72" t="s">
        <v>47</v>
      </c>
      <c r="AW6" s="65" t="s">
        <v>56</v>
      </c>
      <c r="AX6" s="65" t="s">
        <v>48</v>
      </c>
      <c r="AY6" s="65" t="s">
        <v>55</v>
      </c>
      <c r="AZ6" s="65" t="s">
        <v>54</v>
      </c>
      <c r="BA6" s="73" t="s">
        <v>53</v>
      </c>
      <c r="BB6" s="72" t="s">
        <v>47</v>
      </c>
      <c r="BC6" s="65" t="s">
        <v>56</v>
      </c>
      <c r="BD6" s="65" t="s">
        <v>48</v>
      </c>
      <c r="BE6" s="65" t="s">
        <v>55</v>
      </c>
      <c r="BF6" s="65" t="s">
        <v>54</v>
      </c>
      <c r="BG6" s="73" t="s">
        <v>53</v>
      </c>
      <c r="BH6" s="72" t="s">
        <v>47</v>
      </c>
      <c r="BI6" s="65" t="s">
        <v>56</v>
      </c>
      <c r="BJ6" s="65" t="s">
        <v>48</v>
      </c>
      <c r="BK6" s="65" t="s">
        <v>55</v>
      </c>
      <c r="BL6" s="65" t="s">
        <v>54</v>
      </c>
      <c r="BM6" s="73" t="s">
        <v>53</v>
      </c>
      <c r="BN6" s="72" t="s">
        <v>47</v>
      </c>
      <c r="BO6" s="65" t="s">
        <v>56</v>
      </c>
      <c r="BP6" s="65" t="s">
        <v>48</v>
      </c>
      <c r="BQ6" s="65" t="s">
        <v>55</v>
      </c>
      <c r="BR6" s="65" t="s">
        <v>54</v>
      </c>
      <c r="BS6" s="112" t="s">
        <v>53</v>
      </c>
      <c r="BT6" s="72" t="s">
        <v>47</v>
      </c>
      <c r="BU6" s="65" t="s">
        <v>56</v>
      </c>
      <c r="BV6" s="65" t="s">
        <v>48</v>
      </c>
      <c r="BW6" s="65" t="s">
        <v>85</v>
      </c>
      <c r="BX6" s="65" t="s">
        <v>54</v>
      </c>
      <c r="BY6" s="112" t="s">
        <v>53</v>
      </c>
      <c r="BZ6" s="72" t="s">
        <v>47</v>
      </c>
      <c r="CA6" s="65" t="s">
        <v>56</v>
      </c>
      <c r="CB6" s="65" t="s">
        <v>48</v>
      </c>
      <c r="CC6" s="65" t="s">
        <v>85</v>
      </c>
      <c r="CD6" s="65" t="s">
        <v>54</v>
      </c>
      <c r="CE6" s="112" t="s">
        <v>53</v>
      </c>
      <c r="CF6" s="72" t="s">
        <v>47</v>
      </c>
      <c r="CG6" s="65" t="s">
        <v>56</v>
      </c>
      <c r="CH6" s="65" t="s">
        <v>48</v>
      </c>
      <c r="CI6" s="65" t="s">
        <v>85</v>
      </c>
      <c r="CJ6" s="65" t="s">
        <v>54</v>
      </c>
      <c r="CK6" s="112" t="s">
        <v>53</v>
      </c>
      <c r="CL6" s="72" t="s">
        <v>47</v>
      </c>
      <c r="CM6" s="65" t="s">
        <v>56</v>
      </c>
      <c r="CN6" s="65" t="s">
        <v>48</v>
      </c>
      <c r="CO6" s="65" t="s">
        <v>85</v>
      </c>
      <c r="CP6" s="65" t="s">
        <v>54</v>
      </c>
      <c r="CQ6" s="112" t="s">
        <v>53</v>
      </c>
      <c r="CR6" s="72" t="s">
        <v>47</v>
      </c>
      <c r="CS6" s="65" t="s">
        <v>56</v>
      </c>
      <c r="CT6" s="65" t="s">
        <v>48</v>
      </c>
      <c r="CU6" s="65" t="s">
        <v>85</v>
      </c>
      <c r="CV6" s="65" t="s">
        <v>54</v>
      </c>
      <c r="CW6" s="112" t="s">
        <v>53</v>
      </c>
      <c r="CX6" s="72" t="s">
        <v>47</v>
      </c>
      <c r="CY6" s="65" t="s">
        <v>56</v>
      </c>
      <c r="CZ6" s="65" t="s">
        <v>48</v>
      </c>
      <c r="DA6" s="65" t="s">
        <v>85</v>
      </c>
      <c r="DB6" s="65" t="s">
        <v>54</v>
      </c>
      <c r="DC6" s="112" t="s">
        <v>53</v>
      </c>
      <c r="DD6" s="72" t="s">
        <v>47</v>
      </c>
      <c r="DE6" s="65" t="s">
        <v>56</v>
      </c>
      <c r="DF6" s="65" t="s">
        <v>48</v>
      </c>
      <c r="DG6" s="65" t="s">
        <v>85</v>
      </c>
      <c r="DH6" s="65" t="s">
        <v>54</v>
      </c>
      <c r="DI6" s="112" t="s">
        <v>53</v>
      </c>
      <c r="DJ6" s="72" t="s">
        <v>47</v>
      </c>
      <c r="DK6" s="65" t="s">
        <v>56</v>
      </c>
      <c r="DL6" s="65" t="s">
        <v>48</v>
      </c>
      <c r="DM6" s="65" t="s">
        <v>85</v>
      </c>
      <c r="DN6" s="65" t="s">
        <v>54</v>
      </c>
      <c r="DO6" s="112" t="s">
        <v>53</v>
      </c>
      <c r="DP6" s="72" t="s">
        <v>47</v>
      </c>
      <c r="DQ6" s="65" t="s">
        <v>56</v>
      </c>
      <c r="DR6" s="65" t="s">
        <v>48</v>
      </c>
      <c r="DS6" s="65" t="s">
        <v>85</v>
      </c>
      <c r="DT6" s="65" t="s">
        <v>54</v>
      </c>
      <c r="DU6" s="112" t="s">
        <v>53</v>
      </c>
      <c r="DV6" s="72" t="s">
        <v>47</v>
      </c>
      <c r="DW6" s="65" t="s">
        <v>56</v>
      </c>
      <c r="DX6" s="65" t="s">
        <v>48</v>
      </c>
      <c r="DY6" s="65" t="s">
        <v>85</v>
      </c>
      <c r="DZ6" s="65" t="s">
        <v>54</v>
      </c>
      <c r="EA6" s="112" t="s">
        <v>53</v>
      </c>
      <c r="EB6" s="72" t="s">
        <v>47</v>
      </c>
      <c r="EC6" s="65" t="s">
        <v>56</v>
      </c>
      <c r="ED6" s="65" t="s">
        <v>48</v>
      </c>
      <c r="EE6" s="65" t="s">
        <v>85</v>
      </c>
      <c r="EF6" s="65" t="s">
        <v>54</v>
      </c>
      <c r="EG6" s="112" t="s">
        <v>53</v>
      </c>
      <c r="EH6" s="72" t="s">
        <v>47</v>
      </c>
      <c r="EI6" s="65" t="s">
        <v>56</v>
      </c>
      <c r="EJ6" s="65" t="s">
        <v>48</v>
      </c>
      <c r="EK6" s="65" t="s">
        <v>85</v>
      </c>
      <c r="EL6" s="65" t="s">
        <v>54</v>
      </c>
      <c r="EM6" s="112" t="s">
        <v>53</v>
      </c>
      <c r="EN6" s="72" t="s">
        <v>47</v>
      </c>
      <c r="EO6" s="65" t="s">
        <v>56</v>
      </c>
      <c r="EP6" s="65" t="s">
        <v>48</v>
      </c>
      <c r="EQ6" s="65" t="s">
        <v>85</v>
      </c>
      <c r="ER6" s="65" t="s">
        <v>54</v>
      </c>
      <c r="ES6" s="112" t="s">
        <v>53</v>
      </c>
      <c r="ET6" s="72" t="s">
        <v>47</v>
      </c>
      <c r="EU6" s="65" t="s">
        <v>56</v>
      </c>
      <c r="EV6" s="65" t="s">
        <v>48</v>
      </c>
      <c r="EW6" s="65" t="s">
        <v>85</v>
      </c>
      <c r="EX6" s="65" t="s">
        <v>54</v>
      </c>
      <c r="EY6" s="112" t="s">
        <v>53</v>
      </c>
      <c r="EZ6" s="72" t="s">
        <v>47</v>
      </c>
      <c r="FA6" s="65" t="s">
        <v>56</v>
      </c>
      <c r="FB6" s="65" t="s">
        <v>48</v>
      </c>
      <c r="FC6" s="65" t="s">
        <v>85</v>
      </c>
      <c r="FD6" s="65" t="s">
        <v>54</v>
      </c>
      <c r="FE6" s="112" t="s">
        <v>53</v>
      </c>
      <c r="FF6" s="72" t="s">
        <v>47</v>
      </c>
      <c r="FG6" s="65" t="s">
        <v>56</v>
      </c>
      <c r="FH6" s="65" t="s">
        <v>48</v>
      </c>
      <c r="FI6" s="65" t="s">
        <v>85</v>
      </c>
      <c r="FJ6" s="65" t="s">
        <v>54</v>
      </c>
      <c r="FK6" s="112" t="s">
        <v>53</v>
      </c>
      <c r="FL6" s="72" t="s">
        <v>47</v>
      </c>
      <c r="FM6" s="65" t="s">
        <v>56</v>
      </c>
      <c r="FN6" s="65" t="s">
        <v>48</v>
      </c>
      <c r="FO6" s="65" t="s">
        <v>85</v>
      </c>
      <c r="FP6" s="65" t="s">
        <v>54</v>
      </c>
      <c r="FQ6" s="112" t="s">
        <v>53</v>
      </c>
      <c r="FR6" s="72" t="s">
        <v>47</v>
      </c>
      <c r="FS6" s="65" t="s">
        <v>56</v>
      </c>
      <c r="FT6" s="65" t="s">
        <v>48</v>
      </c>
      <c r="FU6" s="65" t="s">
        <v>85</v>
      </c>
      <c r="FV6" s="65" t="s">
        <v>54</v>
      </c>
      <c r="FW6" s="112" t="s">
        <v>53</v>
      </c>
      <c r="FX6" s="72" t="s">
        <v>47</v>
      </c>
      <c r="FY6" s="65" t="s">
        <v>56</v>
      </c>
      <c r="FZ6" s="65" t="s">
        <v>48</v>
      </c>
      <c r="GA6" s="65" t="s">
        <v>85</v>
      </c>
      <c r="GB6" s="65" t="s">
        <v>54</v>
      </c>
      <c r="GC6" s="112" t="s">
        <v>53</v>
      </c>
      <c r="GD6" s="72" t="s">
        <v>47</v>
      </c>
      <c r="GE6" s="65" t="s">
        <v>56</v>
      </c>
      <c r="GF6" s="65" t="s">
        <v>48</v>
      </c>
      <c r="GG6" s="65" t="s">
        <v>85</v>
      </c>
      <c r="GH6" s="65" t="s">
        <v>54</v>
      </c>
      <c r="GI6" s="112" t="s">
        <v>53</v>
      </c>
      <c r="GJ6" s="164" t="s">
        <v>53</v>
      </c>
      <c r="GK6" s="162" t="s">
        <v>61</v>
      </c>
      <c r="GL6" s="84" t="s">
        <v>77</v>
      </c>
    </row>
    <row r="7" spans="1:194" s="28" customFormat="1" thickBot="1">
      <c r="A7" s="102">
        <v>1</v>
      </c>
      <c r="B7" s="106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101">
        <f>F7+1</f>
        <v>7</v>
      </c>
      <c r="H7" s="62">
        <f t="shared" si="0"/>
        <v>8</v>
      </c>
      <c r="I7" s="62">
        <f t="shared" ref="I7:L7" si="1">H7+1</f>
        <v>9</v>
      </c>
      <c r="J7" s="113">
        <f>I7+1</f>
        <v>10</v>
      </c>
      <c r="K7" s="118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3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3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3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3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3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3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3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3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3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3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3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3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3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3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3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3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3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3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3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3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3">
        <f t="shared" ref="GI7" si="103">GH7+1</f>
        <v>191</v>
      </c>
      <c r="GJ7" s="63">
        <f>GI7+1</f>
        <v>192</v>
      </c>
      <c r="GK7" s="163">
        <f>GJ7+1</f>
        <v>193</v>
      </c>
      <c r="GL7" s="85">
        <f>GK7+1</f>
        <v>194</v>
      </c>
    </row>
    <row r="8" spans="1:194" s="29" customFormat="1" thickBot="1">
      <c r="A8" s="103" t="s">
        <v>3</v>
      </c>
      <c r="B8" s="107" t="s">
        <v>4</v>
      </c>
      <c r="C8" s="56" t="s">
        <v>50</v>
      </c>
      <c r="D8" s="60" t="s">
        <v>4</v>
      </c>
      <c r="E8" s="56" t="s">
        <v>50</v>
      </c>
      <c r="F8" s="60" t="s">
        <v>4</v>
      </c>
      <c r="G8" s="59" t="s">
        <v>5</v>
      </c>
      <c r="H8" s="57" t="s">
        <v>4</v>
      </c>
      <c r="I8" s="57" t="s">
        <v>51</v>
      </c>
      <c r="J8" s="114" t="s">
        <v>69</v>
      </c>
      <c r="K8" s="119" t="s">
        <v>51</v>
      </c>
      <c r="L8" s="58" t="s">
        <v>4</v>
      </c>
      <c r="M8" s="56" t="s">
        <v>51</v>
      </c>
      <c r="N8" s="57" t="s">
        <v>51</v>
      </c>
      <c r="O8" s="57" t="s">
        <v>51</v>
      </c>
      <c r="P8" s="57" t="s">
        <v>4</v>
      </c>
      <c r="Q8" s="60" t="s">
        <v>4</v>
      </c>
      <c r="R8" s="56" t="s">
        <v>4</v>
      </c>
      <c r="S8" s="57" t="s">
        <v>51</v>
      </c>
      <c r="T8" s="57" t="s">
        <v>51</v>
      </c>
      <c r="U8" s="57" t="s">
        <v>51</v>
      </c>
      <c r="V8" s="57" t="s">
        <v>4</v>
      </c>
      <c r="W8" s="60" t="s">
        <v>4</v>
      </c>
      <c r="X8" s="56" t="s">
        <v>4</v>
      </c>
      <c r="Y8" s="57" t="s">
        <v>51</v>
      </c>
      <c r="Z8" s="57" t="s">
        <v>51</v>
      </c>
      <c r="AA8" s="57" t="s">
        <v>51</v>
      </c>
      <c r="AB8" s="57" t="s">
        <v>4</v>
      </c>
      <c r="AC8" s="60" t="s">
        <v>4</v>
      </c>
      <c r="AD8" s="56" t="s">
        <v>4</v>
      </c>
      <c r="AE8" s="57" t="s">
        <v>51</v>
      </c>
      <c r="AF8" s="57" t="s">
        <v>51</v>
      </c>
      <c r="AG8" s="57" t="s">
        <v>51</v>
      </c>
      <c r="AH8" s="57" t="s">
        <v>4</v>
      </c>
      <c r="AI8" s="60" t="s">
        <v>4</v>
      </c>
      <c r="AJ8" s="56" t="s">
        <v>4</v>
      </c>
      <c r="AK8" s="57" t="s">
        <v>51</v>
      </c>
      <c r="AL8" s="57" t="s">
        <v>51</v>
      </c>
      <c r="AM8" s="57" t="s">
        <v>51</v>
      </c>
      <c r="AN8" s="57" t="s">
        <v>4</v>
      </c>
      <c r="AO8" s="60" t="s">
        <v>4</v>
      </c>
      <c r="AP8" s="56" t="s">
        <v>4</v>
      </c>
      <c r="AQ8" s="57" t="s">
        <v>51</v>
      </c>
      <c r="AR8" s="57" t="s">
        <v>51</v>
      </c>
      <c r="AS8" s="57" t="s">
        <v>51</v>
      </c>
      <c r="AT8" s="57" t="s">
        <v>4</v>
      </c>
      <c r="AU8" s="60" t="s">
        <v>4</v>
      </c>
      <c r="AV8" s="56" t="s">
        <v>4</v>
      </c>
      <c r="AW8" s="57" t="s">
        <v>51</v>
      </c>
      <c r="AX8" s="57" t="s">
        <v>51</v>
      </c>
      <c r="AY8" s="57" t="s">
        <v>51</v>
      </c>
      <c r="AZ8" s="57" t="s">
        <v>4</v>
      </c>
      <c r="BA8" s="60" t="s">
        <v>4</v>
      </c>
      <c r="BB8" s="56" t="s">
        <v>4</v>
      </c>
      <c r="BC8" s="57" t="s">
        <v>51</v>
      </c>
      <c r="BD8" s="57" t="s">
        <v>51</v>
      </c>
      <c r="BE8" s="57" t="s">
        <v>51</v>
      </c>
      <c r="BF8" s="57" t="s">
        <v>4</v>
      </c>
      <c r="BG8" s="60" t="s">
        <v>4</v>
      </c>
      <c r="BH8" s="56" t="s">
        <v>4</v>
      </c>
      <c r="BI8" s="57" t="s">
        <v>51</v>
      </c>
      <c r="BJ8" s="57" t="s">
        <v>51</v>
      </c>
      <c r="BK8" s="57" t="s">
        <v>51</v>
      </c>
      <c r="BL8" s="57" t="s">
        <v>4</v>
      </c>
      <c r="BM8" s="60" t="s">
        <v>4</v>
      </c>
      <c r="BN8" s="56" t="s">
        <v>4</v>
      </c>
      <c r="BO8" s="57" t="s">
        <v>51</v>
      </c>
      <c r="BP8" s="57" t="s">
        <v>51</v>
      </c>
      <c r="BQ8" s="57" t="s">
        <v>51</v>
      </c>
      <c r="BR8" s="57" t="s">
        <v>4</v>
      </c>
      <c r="BS8" s="114" t="s">
        <v>4</v>
      </c>
      <c r="BT8" s="56" t="s">
        <v>4</v>
      </c>
      <c r="BU8" s="57" t="s">
        <v>51</v>
      </c>
      <c r="BV8" s="57" t="s">
        <v>51</v>
      </c>
      <c r="BW8" s="57" t="s">
        <v>51</v>
      </c>
      <c r="BX8" s="57" t="s">
        <v>4</v>
      </c>
      <c r="BY8" s="114" t="s">
        <v>4</v>
      </c>
      <c r="BZ8" s="56" t="s">
        <v>4</v>
      </c>
      <c r="CA8" s="57" t="s">
        <v>51</v>
      </c>
      <c r="CB8" s="57" t="s">
        <v>51</v>
      </c>
      <c r="CC8" s="57" t="s">
        <v>51</v>
      </c>
      <c r="CD8" s="57" t="s">
        <v>4</v>
      </c>
      <c r="CE8" s="114" t="s">
        <v>4</v>
      </c>
      <c r="CF8" s="56" t="s">
        <v>4</v>
      </c>
      <c r="CG8" s="57" t="s">
        <v>51</v>
      </c>
      <c r="CH8" s="57" t="s">
        <v>51</v>
      </c>
      <c r="CI8" s="57" t="s">
        <v>51</v>
      </c>
      <c r="CJ8" s="57" t="s">
        <v>4</v>
      </c>
      <c r="CK8" s="114" t="s">
        <v>4</v>
      </c>
      <c r="CL8" s="56" t="s">
        <v>4</v>
      </c>
      <c r="CM8" s="57" t="s">
        <v>51</v>
      </c>
      <c r="CN8" s="57" t="s">
        <v>51</v>
      </c>
      <c r="CO8" s="57" t="s">
        <v>51</v>
      </c>
      <c r="CP8" s="57" t="s">
        <v>4</v>
      </c>
      <c r="CQ8" s="114" t="s">
        <v>4</v>
      </c>
      <c r="CR8" s="56" t="s">
        <v>4</v>
      </c>
      <c r="CS8" s="57" t="s">
        <v>51</v>
      </c>
      <c r="CT8" s="57" t="s">
        <v>51</v>
      </c>
      <c r="CU8" s="57" t="s">
        <v>51</v>
      </c>
      <c r="CV8" s="57" t="s">
        <v>4</v>
      </c>
      <c r="CW8" s="114" t="s">
        <v>4</v>
      </c>
      <c r="CX8" s="56" t="s">
        <v>4</v>
      </c>
      <c r="CY8" s="57" t="s">
        <v>51</v>
      </c>
      <c r="CZ8" s="57" t="s">
        <v>51</v>
      </c>
      <c r="DA8" s="57" t="s">
        <v>51</v>
      </c>
      <c r="DB8" s="57" t="s">
        <v>4</v>
      </c>
      <c r="DC8" s="114" t="s">
        <v>4</v>
      </c>
      <c r="DD8" s="56" t="s">
        <v>4</v>
      </c>
      <c r="DE8" s="57" t="s">
        <v>51</v>
      </c>
      <c r="DF8" s="57" t="s">
        <v>51</v>
      </c>
      <c r="DG8" s="57" t="s">
        <v>51</v>
      </c>
      <c r="DH8" s="57" t="s">
        <v>4</v>
      </c>
      <c r="DI8" s="114" t="s">
        <v>4</v>
      </c>
      <c r="DJ8" s="56" t="s">
        <v>4</v>
      </c>
      <c r="DK8" s="57" t="s">
        <v>51</v>
      </c>
      <c r="DL8" s="57" t="s">
        <v>51</v>
      </c>
      <c r="DM8" s="57" t="s">
        <v>51</v>
      </c>
      <c r="DN8" s="57" t="s">
        <v>4</v>
      </c>
      <c r="DO8" s="114" t="s">
        <v>4</v>
      </c>
      <c r="DP8" s="56" t="s">
        <v>4</v>
      </c>
      <c r="DQ8" s="57" t="s">
        <v>51</v>
      </c>
      <c r="DR8" s="57" t="s">
        <v>51</v>
      </c>
      <c r="DS8" s="57" t="s">
        <v>51</v>
      </c>
      <c r="DT8" s="57" t="s">
        <v>4</v>
      </c>
      <c r="DU8" s="114" t="s">
        <v>4</v>
      </c>
      <c r="DV8" s="56" t="s">
        <v>4</v>
      </c>
      <c r="DW8" s="57" t="s">
        <v>51</v>
      </c>
      <c r="DX8" s="57" t="s">
        <v>51</v>
      </c>
      <c r="DY8" s="57" t="s">
        <v>51</v>
      </c>
      <c r="DZ8" s="169" t="s">
        <v>4</v>
      </c>
      <c r="EA8" s="114" t="s">
        <v>4</v>
      </c>
      <c r="EB8" s="56" t="s">
        <v>4</v>
      </c>
      <c r="EC8" s="57" t="s">
        <v>51</v>
      </c>
      <c r="ED8" s="57" t="s">
        <v>51</v>
      </c>
      <c r="EE8" s="57" t="s">
        <v>51</v>
      </c>
      <c r="EF8" s="169" t="s">
        <v>4</v>
      </c>
      <c r="EG8" s="114" t="s">
        <v>4</v>
      </c>
      <c r="EH8" s="56" t="s">
        <v>4</v>
      </c>
      <c r="EI8" s="57" t="s">
        <v>51</v>
      </c>
      <c r="EJ8" s="57" t="s">
        <v>51</v>
      </c>
      <c r="EK8" s="57" t="s">
        <v>51</v>
      </c>
      <c r="EL8" s="169" t="s">
        <v>4</v>
      </c>
      <c r="EM8" s="114" t="s">
        <v>4</v>
      </c>
      <c r="EN8" s="38" t="s">
        <v>4</v>
      </c>
      <c r="EO8" s="39" t="s">
        <v>51</v>
      </c>
      <c r="EP8" s="39" t="s">
        <v>51</v>
      </c>
      <c r="EQ8" s="39" t="s">
        <v>51</v>
      </c>
      <c r="ER8" s="39" t="s">
        <v>4</v>
      </c>
      <c r="ES8" s="40" t="s">
        <v>4</v>
      </c>
      <c r="ET8" s="56" t="s">
        <v>4</v>
      </c>
      <c r="EU8" s="57" t="s">
        <v>51</v>
      </c>
      <c r="EV8" s="57" t="s">
        <v>51</v>
      </c>
      <c r="EW8" s="57" t="s">
        <v>51</v>
      </c>
      <c r="EX8" s="169" t="s">
        <v>4</v>
      </c>
      <c r="EY8" s="114" t="s">
        <v>4</v>
      </c>
      <c r="EZ8" s="56" t="s">
        <v>4</v>
      </c>
      <c r="FA8" s="57" t="s">
        <v>51</v>
      </c>
      <c r="FB8" s="57" t="s">
        <v>51</v>
      </c>
      <c r="FC8" s="57" t="s">
        <v>51</v>
      </c>
      <c r="FD8" s="169" t="s">
        <v>4</v>
      </c>
      <c r="FE8" s="114" t="s">
        <v>4</v>
      </c>
      <c r="FF8" s="56" t="s">
        <v>4</v>
      </c>
      <c r="FG8" s="57" t="s">
        <v>51</v>
      </c>
      <c r="FH8" s="57" t="s">
        <v>51</v>
      </c>
      <c r="FI8" s="57" t="s">
        <v>51</v>
      </c>
      <c r="FJ8" s="169" t="s">
        <v>4</v>
      </c>
      <c r="FK8" s="114" t="s">
        <v>4</v>
      </c>
      <c r="FL8" s="56" t="s">
        <v>4</v>
      </c>
      <c r="FM8" s="57" t="s">
        <v>51</v>
      </c>
      <c r="FN8" s="57" t="s">
        <v>51</v>
      </c>
      <c r="FO8" s="57" t="s">
        <v>51</v>
      </c>
      <c r="FP8" s="169" t="s">
        <v>4</v>
      </c>
      <c r="FQ8" s="114" t="s">
        <v>4</v>
      </c>
      <c r="FR8" s="56" t="s">
        <v>4</v>
      </c>
      <c r="FS8" s="57" t="s">
        <v>51</v>
      </c>
      <c r="FT8" s="57" t="s">
        <v>51</v>
      </c>
      <c r="FU8" s="57" t="s">
        <v>51</v>
      </c>
      <c r="FV8" s="169" t="s">
        <v>4</v>
      </c>
      <c r="FW8" s="114" t="s">
        <v>4</v>
      </c>
      <c r="FX8" s="56" t="s">
        <v>4</v>
      </c>
      <c r="FY8" s="57" t="s">
        <v>51</v>
      </c>
      <c r="FZ8" s="57" t="s">
        <v>51</v>
      </c>
      <c r="GA8" s="57" t="s">
        <v>51</v>
      </c>
      <c r="GB8" s="169" t="s">
        <v>4</v>
      </c>
      <c r="GC8" s="114" t="s">
        <v>4</v>
      </c>
      <c r="GD8" s="56" t="s">
        <v>4</v>
      </c>
      <c r="GE8" s="57" t="s">
        <v>51</v>
      </c>
      <c r="GF8" s="57" t="s">
        <v>51</v>
      </c>
      <c r="GG8" s="57" t="s">
        <v>51</v>
      </c>
      <c r="GH8" s="169" t="s">
        <v>4</v>
      </c>
      <c r="GI8" s="114" t="s">
        <v>4</v>
      </c>
      <c r="GJ8" s="166" t="s">
        <v>4</v>
      </c>
      <c r="GK8" s="165" t="s">
        <v>4</v>
      </c>
      <c r="GL8" s="86" t="s">
        <v>51</v>
      </c>
    </row>
    <row r="9" spans="1:194" s="26" customFormat="1" ht="16.5" thickBot="1">
      <c r="A9" s="148" t="str">
        <f>'Исходные данные 2026'!B11</f>
        <v>Бутаковское сельское поселение</v>
      </c>
      <c r="B9" s="149" t="s">
        <v>8</v>
      </c>
      <c r="C9" s="149" t="s">
        <v>8</v>
      </c>
      <c r="D9" s="149" t="s">
        <v>8</v>
      </c>
      <c r="E9" s="149" t="s">
        <v>8</v>
      </c>
      <c r="F9" s="149" t="s">
        <v>8</v>
      </c>
      <c r="G9" s="108">
        <f>'Исходные данные 2026'!C11</f>
        <v>536</v>
      </c>
      <c r="H9" s="50">
        <f>'Исходные данные 2026'!D11</f>
        <v>225277</v>
      </c>
      <c r="I9" s="51">
        <f>'Расчет КРП'!F7</f>
        <v>6.5043522499430768</v>
      </c>
      <c r="J9" s="115" t="s">
        <v>8</v>
      </c>
      <c r="K9" s="151">
        <f t="shared" ref="K9:K16" si="104">((H9/G9)/($H$17/$G$17))/I9</f>
        <v>7.1922497604965913E-2</v>
      </c>
      <c r="L9" s="152">
        <f t="shared" ref="L9:L16" si="105">$D$17*G9/$G$17</f>
        <v>417323.03691930039</v>
      </c>
      <c r="M9" s="155">
        <f t="shared" ref="M9:M16" si="106">(((H9+L9)/G9)/$J$17)/I9</f>
        <v>0.20515809255396419</v>
      </c>
      <c r="N9" s="156" t="s">
        <v>8</v>
      </c>
      <c r="O9" s="157">
        <f t="shared" ref="O9:O16" si="107">$N$17-M9</f>
        <v>0.19858598554977411</v>
      </c>
      <c r="P9" s="170">
        <f t="shared" ref="P9:P16" si="108">IF(O9&gt;0,G9*I9*(($H$17+$L$17)/$G$17)*O9,0)</f>
        <v>1161059.7430583204</v>
      </c>
      <c r="Q9" s="158">
        <f t="shared" ref="Q9:Q16" si="109">IF(($F$17-P$17)&gt;0,P9,$F$17*P9/P$17)</f>
        <v>1161059.7430583204</v>
      </c>
      <c r="R9" s="153" t="s">
        <v>8</v>
      </c>
      <c r="S9" s="49" t="s">
        <v>8</v>
      </c>
      <c r="T9" s="53">
        <f t="shared" ref="T9:T16" si="110">(((H9+L9+Q9)/G9)/$J$17)/I9</f>
        <v>0.57584092564093881</v>
      </c>
      <c r="U9" s="52">
        <f t="shared" ref="U9:U16" si="111">S$17-T9</f>
        <v>3.3290452402975568E-2</v>
      </c>
      <c r="V9" s="54">
        <f t="shared" ref="V9:V16" si="112">IF(U9&gt;0,$G9*$I9*(($H$17+$L$17+$Q$17)/$G$17)*U9,0)</f>
        <v>266760.76761465223</v>
      </c>
      <c r="W9" s="80">
        <f t="shared" ref="W9:W16" si="113">IF((R$17-V$17)&gt;0,V9,R$17*V9/V$17)</f>
        <v>202105.40798922154</v>
      </c>
      <c r="X9" s="76" t="s">
        <v>8</v>
      </c>
      <c r="Y9" s="49" t="s">
        <v>8</v>
      </c>
      <c r="Z9" s="53">
        <f t="shared" ref="Z9:Z16" si="114">(((H9+L9+Q9+W9)/G9)/$J$17)/I9</f>
        <v>0.64036560291405353</v>
      </c>
      <c r="AA9" s="52">
        <f t="shared" ref="AA9:AA16" si="115">Y$17-Z9</f>
        <v>9.3569720875162576E-2</v>
      </c>
      <c r="AB9" s="54">
        <f t="shared" ref="AB9:AB16" si="116">IF(AA9&gt;0,$G9*$I9*(($H$17+$L$17+$Q$17+$W$17)/$G$17)*AA9,0)</f>
        <v>876959.34720252303</v>
      </c>
      <c r="AC9" s="80">
        <f t="shared" ref="AC9:AC16" si="117">IF((X$17-AB$17)&gt;0,AB9,X$17*AB9/AB$17)</f>
        <v>0</v>
      </c>
      <c r="AD9" s="76" t="s">
        <v>8</v>
      </c>
      <c r="AE9" s="49" t="s">
        <v>8</v>
      </c>
      <c r="AF9" s="53">
        <f t="shared" ref="AF9:AF16" si="118">(((H9+L9+Q9+W9+AC9)/G9)/$J$17)/I9</f>
        <v>0.64036560291405353</v>
      </c>
      <c r="AG9" s="52">
        <f t="shared" ref="AG9:AG16" si="119">AE$17-AF9</f>
        <v>9.3569720875162576E-2</v>
      </c>
      <c r="AH9" s="54">
        <f t="shared" ref="AH9:AH16" si="120">IF(AG9&gt;0,$G9*$I9*(($H$17+$L$17+$Q$17+$W$17+$AC$17)/$G$17)*AG9,0)</f>
        <v>876959.34720252303</v>
      </c>
      <c r="AI9" s="80">
        <f t="shared" ref="AI9:AI16" si="121">IF((AD$17-AH$17)&gt;0,AH9,AD$17*AH9/AH$17)</f>
        <v>0</v>
      </c>
      <c r="AJ9" s="76" t="s">
        <v>8</v>
      </c>
      <c r="AK9" s="49" t="s">
        <v>8</v>
      </c>
      <c r="AL9" s="53">
        <f t="shared" ref="AL9:AL16" si="122">(((H9+L9+Q9+W9+AC9+AI9)/G9)/$J$17)/I9</f>
        <v>0.64036560291405353</v>
      </c>
      <c r="AM9" s="52">
        <f t="shared" ref="AM9:AM16" si="123">AK$17-AL9</f>
        <v>9.3569720875162576E-2</v>
      </c>
      <c r="AN9" s="54">
        <f t="shared" ref="AN9:AN16" si="124">IF(AM9&gt;0,$G9*$I9*(($H$17+$L$17+$Q$17+$W$17+$AC$17+$AI$17)/$G$17)*AM9,0)</f>
        <v>876959.34720252303</v>
      </c>
      <c r="AO9" s="80">
        <f t="shared" ref="AO9:AO16" si="125">IF((AJ$17-AN$17)&gt;0,AN9,AJ$17*AN9/AN$17)</f>
        <v>0</v>
      </c>
      <c r="AP9" s="76" t="s">
        <v>8</v>
      </c>
      <c r="AQ9" s="49" t="s">
        <v>8</v>
      </c>
      <c r="AR9" s="53">
        <f t="shared" ref="AR9:AR16" si="126">(((H9+L9+Q9+W9+AC9+AI9+AO9)/G9)/$J$17)/I9</f>
        <v>0.64036560291405353</v>
      </c>
      <c r="AS9" s="52">
        <f t="shared" ref="AS9:AS16" si="127">AQ$17-AR9</f>
        <v>9.3569720875162576E-2</v>
      </c>
      <c r="AT9" s="54">
        <f t="shared" ref="AT9:AT16" si="128">IF(AS9&gt;0,$G9*$I9*(($H$17+$L$17+$Q$17+$W$17+$AC$17+$AI$17+$AO$17)/$G$17)*AS9,0)</f>
        <v>876959.34720252303</v>
      </c>
      <c r="AU9" s="80">
        <f t="shared" ref="AU9:AU16" si="129">IF((AP$17-AT$17)&gt;0,AT9,AP$17*AT9/AT$17)</f>
        <v>0</v>
      </c>
      <c r="AV9" s="76" t="s">
        <v>8</v>
      </c>
      <c r="AW9" s="49" t="s">
        <v>8</v>
      </c>
      <c r="AX9" s="53">
        <f t="shared" ref="AX9:AX16" si="130">(((H9+L9+Q9+W9+AC9+AI9+AO9+AU9)/G9)/$J$17)/I9</f>
        <v>0.64036560291405353</v>
      </c>
      <c r="AY9" s="52">
        <f t="shared" ref="AY9:AY16" si="131">AW$17-AX9</f>
        <v>9.3569720875162576E-2</v>
      </c>
      <c r="AZ9" s="54">
        <f t="shared" ref="AZ9:AZ16" si="132">IF(AY9&gt;0,$G9*$I9*(($H$17+$L$17+$Q$17+$W$17+$AC$17+$AI$17+$AO$17+$AU$17)/$G$17)*AY9,0)</f>
        <v>876959.34720252303</v>
      </c>
      <c r="BA9" s="80">
        <f t="shared" ref="BA9:BA16" si="133">IF((AV$17-AZ$17)&gt;0,AZ9,AV$17*AZ9/AZ$17)</f>
        <v>0</v>
      </c>
      <c r="BB9" s="76" t="s">
        <v>8</v>
      </c>
      <c r="BC9" s="49" t="s">
        <v>8</v>
      </c>
      <c r="BD9" s="53">
        <f t="shared" ref="BD9:BD16" si="134">(((H9+L9+Q9+W9+AC9+AI9+AO9+AU9+BA9)/G9)/$J$17)/I9</f>
        <v>0.64036560291405353</v>
      </c>
      <c r="BE9" s="52">
        <f t="shared" ref="BE9:BE16" si="135">BC$17-BD9</f>
        <v>9.3569720875162576E-2</v>
      </c>
      <c r="BF9" s="54">
        <f t="shared" ref="BF9:BF16" si="136">IF(BE9&gt;0,$G9*$I9*(($H$17+$L$17+$Q$17+$W$17+$AC$17+$AI$17+$AO$17+$AU$17+$BA$17)/$G$17)*BE9,0)</f>
        <v>876959.34720252303</v>
      </c>
      <c r="BG9" s="80">
        <f t="shared" ref="BG9:BG16" si="137">IF((BB$17-BF$17)&gt;0,BF9,BB$17*BF9/BF$17)</f>
        <v>0</v>
      </c>
      <c r="BH9" s="76" t="s">
        <v>8</v>
      </c>
      <c r="BI9" s="49" t="s">
        <v>8</v>
      </c>
      <c r="BJ9" s="53">
        <f t="shared" ref="BJ9:BJ16" si="138">(((H9+L9+Q9+W9+AC9+AI9+AO9+AU9+BA9+BG9)/G9)/$J$17)/I9</f>
        <v>0.64036560291405353</v>
      </c>
      <c r="BK9" s="52">
        <f t="shared" ref="BK9:BK16" si="139">BI$17-BJ9</f>
        <v>9.3569720875162576E-2</v>
      </c>
      <c r="BL9" s="54">
        <f t="shared" ref="BL9:BL16" si="140">IF(BK9&gt;0,$G9*$I9*(($H$17+$L$17+$Q$17+$W$17+$AC$17+$AI$17+$AO$17+$AU$17+$BA$17+$BG$17)/$G$17)*BK9,0)</f>
        <v>876959.34720252303</v>
      </c>
      <c r="BM9" s="80">
        <f t="shared" ref="BM9:BM16" si="141">IF((BH$17-BL$17)&gt;0,BL9,BH$17*BL9/BL$17)</f>
        <v>0</v>
      </c>
      <c r="BN9" s="76" t="s">
        <v>8</v>
      </c>
      <c r="BO9" s="49" t="s">
        <v>8</v>
      </c>
      <c r="BP9" s="53">
        <f t="shared" ref="BP9:BP16" si="142">(((H9+L9+Q9+W9+AC9+AI9+AO9+AU9+BA9+BG9+BM9)/G9)/$J$17)/I9</f>
        <v>0.64036560291405353</v>
      </c>
      <c r="BQ9" s="52">
        <f t="shared" ref="BQ9:BQ16" si="143">BO$17-BP9</f>
        <v>9.3569720875162576E-2</v>
      </c>
      <c r="BR9" s="54">
        <f t="shared" ref="BR9:BR16" si="144">IF(BQ9&gt;0,$G9*$I9*(($H$17+$L$17+$Q$17+$W$17+$AC$17+$AI$17+$AO$17+$AU$17+$BA$17+$BG$17+$BM$17)/$G$17)*BQ9,0)</f>
        <v>876959.34720252303</v>
      </c>
      <c r="BS9" s="127">
        <f t="shared" ref="BS9:BS16" si="145">IF((BN$17-BR$17)&gt;0,BR9,BN$17*BR9/BR$17)</f>
        <v>0</v>
      </c>
      <c r="BT9" s="76" t="s">
        <v>8</v>
      </c>
      <c r="BU9" s="49" t="s">
        <v>8</v>
      </c>
      <c r="BV9" s="53">
        <f t="shared" ref="BV9:BV16" si="146">(((H9+L9+Q9+W9+AC9+AI9+AO9+AU9+BA9+BG9+BM9+BS9)/G9)/$J$17)/I9</f>
        <v>0.64036560291405353</v>
      </c>
      <c r="BW9" s="52">
        <f t="shared" ref="BW9:BW16" si="147">BU$17-BV9</f>
        <v>9.3569720875162576E-2</v>
      </c>
      <c r="BX9" s="54">
        <f t="shared" ref="BX9:BX16" si="148">IF(BW9&gt;0,$G9*$I9*(($H$17+$L$17+$Q$17+$W$17+$AC$17+$AI$17+$AO$17+$AU$17+$BA$17+$BG$17+$BM$17+$BS$17)/$G$17)*BW9,0)</f>
        <v>876959.34720252303</v>
      </c>
      <c r="BY9" s="127">
        <f t="shared" ref="BY9:BY16" si="149">IF((BT$17-BX$17)&gt;0,BX9,BT$17*BX9/BX$17)</f>
        <v>0</v>
      </c>
      <c r="BZ9" s="76" t="s">
        <v>8</v>
      </c>
      <c r="CA9" s="49" t="s">
        <v>8</v>
      </c>
      <c r="CB9" s="53">
        <f t="shared" ref="CB9:CB16" si="150">(((H9+L9+Q9+W9+AC9+AI9+AO9+AU9+BA9+BG9+BM9+BS9+BY9)/G9)/$J$17)/I9</f>
        <v>0.64036560291405353</v>
      </c>
      <c r="CC9" s="52">
        <f t="shared" ref="CC9:CC16" si="151">CA$17-CB9</f>
        <v>9.3569720875162576E-2</v>
      </c>
      <c r="CD9" s="54">
        <f t="shared" ref="CD9:CD16" si="152">IF(CC9&gt;0,$G9*$I9*(($H$17+$L$17+$Q$17+$W$17+$AC$17+$AI$17+$AO$17+$AU$17+$BA$17+$BG$17+$BM$17+$BS$17+$BY$17)/$G$17)*CC9,0)</f>
        <v>876959.34720252303</v>
      </c>
      <c r="CE9" s="127">
        <f t="shared" ref="CE9:CE16" si="153">IF((BZ$17-CD$17)&gt;0,CD9,BZ$17*CD9/CD$17)</f>
        <v>0</v>
      </c>
      <c r="CF9" s="76" t="s">
        <v>8</v>
      </c>
      <c r="CG9" s="49" t="s">
        <v>8</v>
      </c>
      <c r="CH9" s="53">
        <f t="shared" ref="CH9:CH16" si="154">(((H9+L9+Q9+W9+AC9+AI9+AO9+AU9+BA9+BG9+BM9+BS9+BY9+CE9)/G9)/$J$17)/I9</f>
        <v>0.64036560291405353</v>
      </c>
      <c r="CI9" s="52">
        <f t="shared" ref="CI9:CI16" si="155">CG$17-CH9</f>
        <v>9.3569720875162576E-2</v>
      </c>
      <c r="CJ9" s="54">
        <f t="shared" ref="CJ9:CJ16" si="156">IF(CI9&gt;0,$G9*$I9*(($H$17+$L$17+$Q$17+$W$17+$AC$17+$AI$17+$AO$17+$AU$17+$BA$17+$BG$17+$BM$17+$BS$17+$BY$17+$CE$17)/$G$17)*CI9,0)</f>
        <v>876959.34720252303</v>
      </c>
      <c r="CK9" s="127">
        <f t="shared" ref="CK9:CK16" si="157">IF((CF$17-CJ$17)&gt;0,CJ9,CF$17*CJ9/CJ$17)</f>
        <v>0</v>
      </c>
      <c r="CL9" s="76" t="s">
        <v>8</v>
      </c>
      <c r="CM9" s="49" t="s">
        <v>8</v>
      </c>
      <c r="CN9" s="53">
        <f t="shared" ref="CN9:CN16" si="158">(((H9+L9+Q9+W9+AC9+AI9+AO9+AU9+BA9+BG9+BM9+BS9+BY9+CE9+CK9)/G9)/$J$17)/I9</f>
        <v>0.64036560291405353</v>
      </c>
      <c r="CO9" s="52">
        <f t="shared" ref="CO9:CO16" si="159">CM$17-CN9</f>
        <v>9.3569720875162576E-2</v>
      </c>
      <c r="CP9" s="54">
        <f t="shared" ref="CP9:CP16" si="160">IF(CO9&gt;0,$G9*$I9*(($H$17+$L$17+$Q$17+$W$17+$AC$17+$AI$17+$AO$17+$AU$17+$BA$17+$BG$17+$BM$17+$BS$17+$BY$17+$CE$17+$CK$17)/$G$17)*CO9,0)</f>
        <v>876959.34720252303</v>
      </c>
      <c r="CQ9" s="127">
        <f t="shared" ref="CQ9:CQ16" si="161">IF((CL$17-CP$17)&gt;0,CP9,CL$17*CP9/CP$17)</f>
        <v>0</v>
      </c>
      <c r="CR9" s="76" t="s">
        <v>8</v>
      </c>
      <c r="CS9" s="49" t="s">
        <v>8</v>
      </c>
      <c r="CT9" s="53">
        <f t="shared" ref="CT9:CT16" si="162">(((H9+L9+Q9+W9+AC9+AI9+AO9+AU9+BA9+BG9+BM9+BS9+BY9+CE9+CK9+CQ9)/G9)/$J$17)/I9</f>
        <v>0.64036560291405353</v>
      </c>
      <c r="CU9" s="52">
        <f t="shared" ref="CU9:CU16" si="163">CS$17-CT9</f>
        <v>9.3569720875162576E-2</v>
      </c>
      <c r="CV9" s="54">
        <f t="shared" ref="CV9:CV16" si="164">IF(CU9&gt;0,$G9*$I9*(($H$17+$L$17+$Q$17+$W$17+$AC$17+$AI$17+$AO$17+$AU$17+$BA$17+$BG$17+$BM$17+$BS$17+$BY$17+$CE$17+$CK$17+$CQ$17)/$G$17)*CU9,0)</f>
        <v>876959.34720252303</v>
      </c>
      <c r="CW9" s="127">
        <f t="shared" ref="CW9:CW16" si="165">IF((CR$17-CV$17)&gt;0,CV9,CR$17*CV9/CV$17)</f>
        <v>0</v>
      </c>
      <c r="CX9" s="76" t="s">
        <v>8</v>
      </c>
      <c r="CY9" s="49" t="s">
        <v>8</v>
      </c>
      <c r="CZ9" s="53">
        <f t="shared" ref="CZ9:CZ16" si="166">(((H9+L9+Q9+W9+AC9+AI9+AO9+AU9+BA9+BG9+BM9+BS9+BY9+CE9+CK9+CQ9+CW9)/G9)/$J$17)/I9</f>
        <v>0.64036560291405353</v>
      </c>
      <c r="DA9" s="52">
        <f t="shared" ref="DA9:DA16" si="167">CY$17-CZ9</f>
        <v>9.3569720875162576E-2</v>
      </c>
      <c r="DB9" s="54">
        <f t="shared" ref="DB9:DB16" si="168">IF(DA9&gt;0,$G9*$I9*(($H$17+$L$17+$Q$17+$W$17+$AC$17+$AI$17+$AO$17+$AU$17+$BA$17+$BG$17+$BM$17+$BS$17+$BY$17+$CE$17+$CK$17+$CQ$17+$CW$17)/$G$17)*DA9,0)</f>
        <v>876959.34720252303</v>
      </c>
      <c r="DC9" s="127">
        <f t="shared" ref="DC9:DC16" si="169">IF((CX$17-DB$17)&gt;0,DB9,CX$17*DB9/DB$17)</f>
        <v>0</v>
      </c>
      <c r="DD9" s="76" t="s">
        <v>8</v>
      </c>
      <c r="DE9" s="49" t="s">
        <v>8</v>
      </c>
      <c r="DF9" s="53">
        <f t="shared" ref="DF9:DF16" si="170">(((H9+L9+Q9+W9+AC9+AI9+AO9+AU9+BA9+BG9+BM9+BS9+BY9+CE9+CK9+CQ9+CW9+DC9)/G9)/$J$17)/I9</f>
        <v>0.64036560291405353</v>
      </c>
      <c r="DG9" s="52">
        <f t="shared" ref="DG9:DG16" si="171">DE$17-DF9</f>
        <v>9.3569720875162576E-2</v>
      </c>
      <c r="DH9" s="54">
        <f t="shared" ref="DH9:DH16" si="172">IF(DG9&gt;0,$G9*$I9*(($H$17+$L$17+$Q$17+$W$17+$AC$17+$AI$17+$AO$17+$AU$17+$BA$17+$BG$17+$BM$17+$BS$17+$BY$17+$CE$17+$CK$17+$CQ$17+$CW$17+$DC$17)/$G$17)*DG9,0)</f>
        <v>876959.34720252303</v>
      </c>
      <c r="DI9" s="127">
        <f t="shared" ref="DI9:DI16" si="173">IF((DD$17-DH$17)&gt;0,DH9,DD$17*DH9/DH$17)</f>
        <v>0</v>
      </c>
      <c r="DJ9" s="76" t="s">
        <v>8</v>
      </c>
      <c r="DK9" s="49" t="s">
        <v>8</v>
      </c>
      <c r="DL9" s="53">
        <f t="shared" ref="DL9:DL16" si="174">(((H9+L9+Q9+W9+AC9+AI9+AO9+AU9+BA9+BG9+BM9+BS9+BY9+CE9+CK9+CQ9+CW9+DC9+DI9)/G9)/$J$17)/I9</f>
        <v>0.64036560291405353</v>
      </c>
      <c r="DM9" s="52">
        <f t="shared" ref="DM9:DM16" si="175">DK$17-DL9</f>
        <v>9.3569720875162576E-2</v>
      </c>
      <c r="DN9" s="54">
        <f t="shared" ref="DN9:DN16" si="176">IF(DM9&gt;0,$G9*$I9*(($H$17+$L$17+$Q$17+$W$17+$AC$17+$AI$17+$AO$17+$AU$17+$BA$17+$BG$17+$BM$17+$BS$17+$BY$17+$CE$17+$CK$17+$CQ$17+$CW$17+$DC$17+$DI$17)/$G$17)*DM9,0)</f>
        <v>876959.34720252303</v>
      </c>
      <c r="DO9" s="127">
        <f t="shared" ref="DO9:DO16" si="177">IF((DJ$17-DN$17)&gt;0,DN9,DJ$17*DN9/DN$17)</f>
        <v>0</v>
      </c>
      <c r="DP9" s="76" t="s">
        <v>8</v>
      </c>
      <c r="DQ9" s="49" t="s">
        <v>8</v>
      </c>
      <c r="DR9" s="53">
        <f t="shared" ref="DR9:DR16" si="178">(((H9+L9+Q9+W9+AC9+AI9+AO9+AU9+BA9+BG9+BM9+BS9+BY9+CE9+CK9+CQ9+CW9+DC9+DI9+DO9)/G9)/$J$17)/I9</f>
        <v>0.64036560291405353</v>
      </c>
      <c r="DS9" s="52">
        <f t="shared" ref="DS9:DS16" si="179">DQ$17-DR9</f>
        <v>9.3569720875162576E-2</v>
      </c>
      <c r="DT9" s="54">
        <f t="shared" ref="DT9:DT16" si="180">IF(DS9&gt;0,$G9*$I9*(($H$17+$L$17+$Q$17+$W$17+$AC$17+$AI$17+$AO$17+$AU$17+$BA$17+$BG$17+$BM$17+$BS$17+$BY$17+$CE$17+$CK$17+$CQ$17+$CW$17+$DC$17+$DI$17+$DO$17)/$G$17)*DS9,0)</f>
        <v>876959.34720252303</v>
      </c>
      <c r="DU9" s="127">
        <f t="shared" ref="DU9:DU16" si="181">IF((DP$17-DT$17)&gt;0,DT9,DP$17*DT9/DT$17)</f>
        <v>0</v>
      </c>
      <c r="DV9" s="167" t="s">
        <v>8</v>
      </c>
      <c r="DW9" s="156" t="s">
        <v>8</v>
      </c>
      <c r="DX9" s="171">
        <f t="shared" ref="DX9:DX16" si="182">((($H9+$L9+$Q9+$W9+$AC9+$AI9+$AO9+$AU9+$BA9+$BG9+$BM9+$BS9+$BY9+$CE9+$CK9+$CQ9+$CW9+$DC9+$DI9+$DO9+$DU9)/$G9)/$J$17)/$I9</f>
        <v>0.64036560291405353</v>
      </c>
      <c r="DY9" s="157">
        <f t="shared" ref="DY9:DY16" si="183">DW$17-DX9</f>
        <v>9.3569720875162576E-2</v>
      </c>
      <c r="DZ9" s="35">
        <f t="shared" ref="DZ9:DZ16" si="184">IF(DY9&gt;0,$G9*$I9*(($H$17+$L$17+$Q$17+$W$17+$AC$17+$AI$17+$AO$17+$AU$17+$BA$17+$BG$17+$BM$17+$BS$17+$BY$17+$CE$17+$CK$17+$CQ$17+$CW$17+$DC$17+$DI$17+$DO$17+$DU$17)/$G$17)*DY9,0)</f>
        <v>876959.34720252303</v>
      </c>
      <c r="EA9" s="158">
        <f t="shared" ref="EA9:EA16" si="185">IF((DV$17-DZ$17)&gt;0,DZ9,DV$17*DZ9/DZ$17)</f>
        <v>0</v>
      </c>
      <c r="EB9" s="167" t="s">
        <v>8</v>
      </c>
      <c r="EC9" s="156" t="s">
        <v>8</v>
      </c>
      <c r="ED9" s="171">
        <f t="shared" ref="ED9:ED16" si="186">((($H9+$L9+$Q9+$W9+$AC9+$AI9+$AO9+$AU9+$BA9+$BG9+$BM9+$BS9+$BY9+$CE9+$CK9+$CQ9+$CW9+$DC9+$DI9+$DO9+$DU9+$EA9)/$G9)/$J$17)/$I9</f>
        <v>0.64036560291405353</v>
      </c>
      <c r="EE9" s="157">
        <f t="shared" ref="EE9:EE16" si="187">EC$17-ED9</f>
        <v>9.3569720875162576E-2</v>
      </c>
      <c r="EF9" s="35">
        <f t="shared" ref="EF9:EF16" si="188">IF(EE9&gt;0,$G9*$I9*(($H$17+$L$17+$Q$17+$W$17+$AC$17+$AI$17+$AO$17+$AU$17+$BA$17+$BG$17+$BM$17+$BS$17+$BY$17+$CE$17+$CK$17+$CQ$17+$CW$17+$DC$17+$DI$17+$DO$17+$DU$17+$EA$17)/$G$17)*EE9,0)</f>
        <v>876959.34720252303</v>
      </c>
      <c r="EG9" s="158">
        <f t="shared" ref="EG9:EG16" si="189">IF((EB$17-EF$17)&gt;0,EF9,EB$17*EF9/EF$17)</f>
        <v>0</v>
      </c>
      <c r="EH9" s="167" t="s">
        <v>8</v>
      </c>
      <c r="EI9" s="156" t="s">
        <v>8</v>
      </c>
      <c r="EJ9" s="171">
        <f t="shared" ref="EJ9:EJ16" si="190">((($H9+$L9+$Q9+$W9+$AC9+$AI9+$AO9+$AU9+$BA9+$BG9+$BM9+$BS9+$BY9+$CE9+$CK9+$CQ9+$CW9+$DC9+$DI9+$DO9+$DU9+$EA9+$EG9)/$G9)/$J$17)/$I9</f>
        <v>0.64036560291405353</v>
      </c>
      <c r="EK9" s="157">
        <f t="shared" ref="EK9:EK16" si="191">EI$17-EJ9</f>
        <v>9.3569720875162576E-2</v>
      </c>
      <c r="EL9" s="35">
        <f t="shared" ref="EL9:EL16" si="192">IF(EK9&gt;0,$G9*$I9*(($H$17+$L$17+$Q$17+$W$17+$AC$17+$AI$17+$AO$17+$AU$17+$BA$17+$BG$17+$BM$17+$BS$17+$BY$17+$CE$17+$CK$17+$CQ$17+$CW$17+$DC$17+$DI$17+$DO$17+$DU$17+$EA$17+$EG$17)/$G$17)*EK9,0)</f>
        <v>876959.34720252303</v>
      </c>
      <c r="EM9" s="158">
        <f t="shared" ref="EM9:EM16" si="193">IF((EH$17-EL$17)&gt;0,EL9,EH$17*EL9/EL$17)</f>
        <v>0</v>
      </c>
      <c r="EN9" s="76" t="s">
        <v>8</v>
      </c>
      <c r="EO9" s="49" t="s">
        <v>8</v>
      </c>
      <c r="EP9" s="172">
        <f t="shared" ref="EP9:EP16" si="194">((($H9+$L9+$Q9+$W9+$AC9+$AI9+$AO9+$AU9+$BA9+$BG9+$BM9+$BS9+$BY9+$CE9+$CK9+$CQ9+$CW9+$DC9+$DI9+$DO9+$DU9+$EA9+$EG9+$EM9)/$G9)/$J$17)/$I9</f>
        <v>0.64036560291405353</v>
      </c>
      <c r="EQ9" s="52">
        <f t="shared" ref="EQ9:EQ16" si="195">EO$17-EP9</f>
        <v>9.3569720875162576E-2</v>
      </c>
      <c r="ER9" s="54">
        <f t="shared" ref="ER9:ER16" si="196">IF(EQ9&gt;0,$G9*$I9*(($H$17+$L$17+$Q$17+$W$17+$AC$17+$AI$17+$AO$17+$AU$17+$BA$17+$BG$17+$BM$17+$BS$17+$BY$17+$CE$17+$CK$17+$CQ$17+$CW$17+$DC$17+$DI$17+$DO$17+$DU$17+$EA$17+$EG$17+$EM$17)/$G$17)*EQ9,0)</f>
        <v>876959.34720252303</v>
      </c>
      <c r="ES9" s="80">
        <f t="shared" ref="ES9:ES16" si="197">IF((EN$17-ER$17)&gt;0,ER9,EN$17*ER9/ER$17)</f>
        <v>0</v>
      </c>
      <c r="ET9" s="167" t="s">
        <v>8</v>
      </c>
      <c r="EU9" s="156" t="s">
        <v>8</v>
      </c>
      <c r="EV9" s="171">
        <f t="shared" ref="EV9:EV16" si="198">((($H9+$L9+$Q9+$W9+$AC9+$AI9+$AO9+$AU9+$BA9+$BG9+$BM9+$BS9+$BY9+$CE9+$CK9+$CQ9+$CW9+$DC9+$DI9+$DO9+$DU9+$EA9+$EG9+$EM9+$ES9)/$G9)/$J$17)/$I9</f>
        <v>0.64036560291405353</v>
      </c>
      <c r="EW9" s="157">
        <f t="shared" ref="EW9:EW16" si="199">EU$17-EV9</f>
        <v>9.3569720875162576E-2</v>
      </c>
      <c r="EX9" s="35">
        <f t="shared" ref="EX9:EX16" si="200">IF(EW9&gt;0,$G9*$I9*(($H$17+$L$17+$Q$17+$W$17+$AC$17+$AI$17+$AO$17+$AU$17+$BA$17+$BG$17+$BM$17+$BS$17+$BY$17+$CE$17+$CK$17+$CQ$17+$CW$17+$DC$17+$DI$17+$DO$17+$DU$17+$EA$17+$EG$17+$EM$17+$ES$17)/$G$17)*EW9,0)</f>
        <v>876959.34720252303</v>
      </c>
      <c r="EY9" s="158">
        <f t="shared" ref="EY9:EY16" si="201">IF((ET$17-EX$17)&gt;0,EX9,ET$17*EX9/EX$17)</f>
        <v>0</v>
      </c>
      <c r="EZ9" s="167" t="s">
        <v>8</v>
      </c>
      <c r="FA9" s="156" t="s">
        <v>8</v>
      </c>
      <c r="FB9" s="171">
        <f t="shared" ref="FB9:FB16" si="202">((($H9+$L9+$Q9+$W9+$AC9+$AI9+$AO9+$AU9+$BA9+$BG9+$BM9+$BS9+$BY9+$CE9+$CK9+$CQ9+$CW9+$DC9+$DI9+$DO9+$DU9+$EA9+$EG9+$EM9+$ES9+$EY9)/$G9)/$J$17)/$I9</f>
        <v>0.64036560291405353</v>
      </c>
      <c r="FC9" s="157">
        <f t="shared" ref="FC9:FC16" si="203">FA$17-FB9</f>
        <v>9.3569720875162576E-2</v>
      </c>
      <c r="FD9" s="35">
        <f t="shared" ref="FD9:FD16" si="204">IF(FC9&gt;0,$G9*$I9*(($H$17+$L$17+$Q$17+$W$17+$AC$17+$AI$17+$AO$17+$AU$17+$BA$17+$BG$17+$BM$17+$BS$17+$BY$17+$CE$17+$CK$17+$CQ$17+$CW$17+$DC$17+$DI$17+$DO$17+$DU$17+$EA$17+$EG$17+$EM$17+$ES$17+$EY$17)/$G$17)*FC9,0)</f>
        <v>876959.34720252303</v>
      </c>
      <c r="FE9" s="158">
        <f t="shared" ref="FE9:FE16" si="205">IF((EZ$17-FD$17)&gt;0,FD9,EZ$17*FD9/FD$17)</f>
        <v>0</v>
      </c>
      <c r="FF9" s="167" t="s">
        <v>8</v>
      </c>
      <c r="FG9" s="156" t="s">
        <v>8</v>
      </c>
      <c r="FH9" s="171">
        <f t="shared" ref="FH9:FH16" si="206">((($H9+$L9+$Q9+$W9+$AC9+$AI9+$AO9+$AU9+$BA9+$BG9+$BM9+$BS9+$BY9+$CE9+$CK9+$CQ9+$CW9+$DC9+$DI9+$DO9+$DU9+$EA9+$EG9+$EM9+$ES9+$EY9+$FE9)/$G9)/$J$17)/$I9</f>
        <v>0.64036560291405353</v>
      </c>
      <c r="FI9" s="157">
        <f t="shared" ref="FI9:FI16" si="207">FG$17-FH9</f>
        <v>9.3569720875162576E-2</v>
      </c>
      <c r="FJ9" s="35">
        <f t="shared" ref="FJ9:FJ16" si="208">IF(FI9&gt;0,$G9*$I9*(($H$17+$L$17+$Q$17+$W$17+$AC$17+$AI$17+$AO$17+$AU$17+$BA$17+$BG$17+$BM$17+$BS$17+$BY$17+$CE$17+$CK$17+$CQ$17+$CW$17+$DC$17+$DI$17+$DO$17+$DU$17+$EA$17+$EG$17+$EM$17+$ES$17+$EY$17+$FE$17)/$G$17)*FI9,0)</f>
        <v>876959.34720252303</v>
      </c>
      <c r="FK9" s="158">
        <f t="shared" ref="FK9:FK16" si="209">IF((FF$17-FJ$17)&gt;0,FJ9,FF$17*FJ9/FJ$17)</f>
        <v>0</v>
      </c>
      <c r="FL9" s="167" t="s">
        <v>8</v>
      </c>
      <c r="FM9" s="156" t="s">
        <v>8</v>
      </c>
      <c r="FN9" s="171">
        <f t="shared" ref="FN9:FN16" si="210">((($H9+$L9+$Q9+$W9+$AC9+$AI9+$AO9+$AU9+$BA9+$BG9+$BM9+$BS9+$BY9+$CE9+$CK9+$CQ9+$CW9+$DC9+$DI9+$DO9+$DU9+$EA9+$EG9+$EM9+$ES9+$EY9+$FE9+$FK9)/$G9)/$J$17)/$I9</f>
        <v>0.64036560291405353</v>
      </c>
      <c r="FO9" s="157">
        <f t="shared" ref="FO9:FO16" si="211">FM$17-FN9</f>
        <v>9.3569720875162576E-2</v>
      </c>
      <c r="FP9" s="35">
        <f t="shared" ref="FP9:FP16" si="212">IF(FO9&gt;0,$G9*$I9*(($H$17+$L$17+$Q$17+$W$17+$AC$17+$AI$17+$AO$17+$AU$17+$BA$17+$BG$17+$BM$17+$BS$17+$BY$17+$CE$17+$CK$17+$CQ$17+$CW$17+$DC$17+$DI$17+$DO$17+$DU$17+$EA$17+$EG$17+$EM$17+$ES$17+$EY$17+$FE$17+$FK$17)/$G$17)*FO9,0)</f>
        <v>876959.34720252303</v>
      </c>
      <c r="FQ9" s="158">
        <f t="shared" ref="FQ9:FQ16" si="213">IF((FL$17-FP$17)&gt;0,FP9,FL$17*FP9/FP$17)</f>
        <v>0</v>
      </c>
      <c r="FR9" s="167" t="s">
        <v>8</v>
      </c>
      <c r="FS9" s="156" t="s">
        <v>8</v>
      </c>
      <c r="FT9" s="171">
        <f t="shared" ref="FT9:FT16" si="214">((($H9+$L9+$Q9+$W9+$AC9+$AI9+$AO9+$AU9+$BA9+$BG9+$BM9+$BS9+$BY9+$CE9+$CK9+$CQ9+$CW9+$DC9+$DI9+$DO9+$DU9+$EA9+$EG9+$EM9+$ES9+$EY9+$FE9+$FK9+$FQ9)/$G9)/$J$17)/$I9</f>
        <v>0.64036560291405353</v>
      </c>
      <c r="FU9" s="157">
        <f t="shared" ref="FU9:FU16" si="215">FS$17-FT9</f>
        <v>9.3569720875162576E-2</v>
      </c>
      <c r="FV9" s="35">
        <f t="shared" ref="FV9:FV16" si="216">IF(FU9&gt;0,$G9*$I9*(($H$17+$L$17+$Q$17+$W$17+$AC$17+$AI$17+$AO$17+$AU$17+$BA$17+$BG$17+$BM$17+$BS$17+$BY$17+$CE$17+$CK$17+$CQ$17+$CW$17+$DC$17+$DI$17+$DO$17+$DU$17+$EA$17+$EG$17+$EM$17+$ES$17+$EY$17+$FE$17+$FK$17+$FQ$17)/$G$17)*FU9,0)</f>
        <v>876959.34720252303</v>
      </c>
      <c r="FW9" s="158">
        <f t="shared" ref="FW9:FW16" si="217">IF((FR$17-FV$17)&gt;0,FV9,FR$17*FV9/FV$17)</f>
        <v>0</v>
      </c>
      <c r="FX9" s="167" t="s">
        <v>8</v>
      </c>
      <c r="FY9" s="156" t="s">
        <v>8</v>
      </c>
      <c r="FZ9" s="171">
        <f t="shared" ref="FZ9:FZ16" si="218">((($H9+$L9+$Q9+$W9+$AC9+$AI9+$AO9+$AU9+$BA9+$BG9+$BM9+$BS9+$BY9+$CE9+$CK9+$CQ9+$CW9+$DC9+$DI9+$DO9+$DU9+$EA9+$EG9+$EM9+$ES9+$EY9+$FE9+$FK9+$FQ9+$FW9)/$G9)/$J$17)/$I9</f>
        <v>0.64036560291405353</v>
      </c>
      <c r="GA9" s="157">
        <f t="shared" ref="GA9:GA16" si="219">FY$17-FZ9</f>
        <v>9.3569720875162576E-2</v>
      </c>
      <c r="GB9" s="35">
        <f t="shared" ref="GB9:GB16" si="220">IF(GA9&gt;0,$G9*$I9*(($H$17+$L$17+$Q$17+$W$17+$AC$17+$AI$17+$AO$17+$AU$17+$BA$17+$BG$17+$BM$17+$BS$17+$BY$17+$CE$17+$CK$17+$CQ$17+$CW$17+$DC$17+$DI$17+$DO$17+$DU$17+$EA$17+$EG$17+$EM$17+$ES$17+$EY$17+$FE$17+$FK$17+$FQ$17+$FW$17)/$G$17)*GA9,0)</f>
        <v>876959.34720252303</v>
      </c>
      <c r="GC9" s="158">
        <f t="shared" ref="GC9:GC16" si="221">IF((FX$17-GB$17)&gt;0,GB9,FX$17*GB9/GB$17)</f>
        <v>0</v>
      </c>
      <c r="GD9" s="167" t="s">
        <v>8</v>
      </c>
      <c r="GE9" s="156" t="s">
        <v>8</v>
      </c>
      <c r="GF9" s="171">
        <f t="shared" ref="GF9:GF16" si="222">((($H9+$L9+$Q9+$W9+$AC9+$AI9+$AO9+$AU9+$BA9+$BG9+$BM9+$BS9+$BY9+$CE9+$CK9+$CQ9+$CW9+$DC9+$DI9+$DO9+$DU9+$EA9+$EG9+$EM9+$ES9+$EY9+$FE9+$FK9+$FQ9+$FW9+$GC9)/$G9)/$J$17)/$I9</f>
        <v>0.64036560291405353</v>
      </c>
      <c r="GG9" s="157">
        <f t="shared" ref="GG9:GG16" si="223">GE$17-GF9</f>
        <v>9.3569720875162576E-2</v>
      </c>
      <c r="GH9" s="35">
        <f t="shared" ref="GH9:GH16" si="224">IF(GG9&gt;0,$G9*$I9*(($H$17+$L$17+$Q$17+$W$17+$AC$17+$AI$17+$AO$17+$AU$17+$BA$17+$BG$17+$BM$17+$BS$17+$BY$17+$CE$17+$CK$17+$CQ$17+$CW$17+$DC$17+$DI$17+$DO$17+$DU$17+$EA$17+$EG$17+$EM$17+$ES$17+$EY$17+$FE$17+$FK$17+$FQ$17+$FW$17+$GC$17)/$G$17)*GG9,0)</f>
        <v>876959.34720252303</v>
      </c>
      <c r="GI9" s="175">
        <f t="shared" ref="GI9:GI16" si="225">IF((GD$17-GH$17)&gt;0,GH9,GD$17*GH9/GH$17)</f>
        <v>0</v>
      </c>
      <c r="GJ9" s="173">
        <f>Q9+W9+AC9+AI9+AO9+AU9+BA9+BG9+BM9+BS9+BY9+CE9+CK9+CQ9+CW9+DC9+DI9+DO9+DU9+EA9+EG9+EM9+ES9+EY9+FE9+FK9+FQ9+FW9+GC9+GI9</f>
        <v>1363165.151047542</v>
      </c>
      <c r="GK9" s="159">
        <f t="shared" ref="GK9:GK17" si="226">L9+GJ9</f>
        <v>1780488.1879668424</v>
      </c>
      <c r="GL9" s="160">
        <f t="shared" ref="GL9:GL16" si="227">K9+GK9/($H$17/$G$17)/G9/I9</f>
        <v>0.64036560291405353</v>
      </c>
    </row>
    <row r="10" spans="1:194" s="26" customFormat="1" ht="16.5" thickBot="1">
      <c r="A10" s="148" t="str">
        <f>'Исходные данные 2026'!B12</f>
        <v>Завьяловское сельское поселение</v>
      </c>
      <c r="B10" s="150" t="s">
        <v>8</v>
      </c>
      <c r="C10" s="150" t="s">
        <v>8</v>
      </c>
      <c r="D10" s="150" t="s">
        <v>8</v>
      </c>
      <c r="E10" s="150" t="s">
        <v>8</v>
      </c>
      <c r="F10" s="150" t="s">
        <v>8</v>
      </c>
      <c r="G10" s="109">
        <f>'Исходные данные 2026'!C12</f>
        <v>882</v>
      </c>
      <c r="H10" s="32">
        <f>'Исходные данные 2026'!D12</f>
        <v>634530</v>
      </c>
      <c r="I10" s="33">
        <f>'Расчет КРП'!F8</f>
        <v>5.5502555087710128</v>
      </c>
      <c r="J10" s="116" t="s">
        <v>8</v>
      </c>
      <c r="K10" s="120">
        <f t="shared" si="104"/>
        <v>0.14427375898736361</v>
      </c>
      <c r="L10" s="78">
        <f t="shared" si="105"/>
        <v>686714.40030377416</v>
      </c>
      <c r="M10" s="74">
        <f t="shared" si="106"/>
        <v>0.30041274041074573</v>
      </c>
      <c r="N10" s="31" t="s">
        <v>8</v>
      </c>
      <c r="O10" s="34">
        <f t="shared" si="107"/>
        <v>0.10333133769299258</v>
      </c>
      <c r="P10" s="35">
        <f t="shared" si="108"/>
        <v>848302.48926153837</v>
      </c>
      <c r="Q10" s="81">
        <f t="shared" si="109"/>
        <v>848302.48926153837</v>
      </c>
      <c r="R10" s="154" t="s">
        <v>8</v>
      </c>
      <c r="S10" s="31" t="s">
        <v>8</v>
      </c>
      <c r="T10" s="36">
        <f t="shared" si="110"/>
        <v>0.49329217697654992</v>
      </c>
      <c r="U10" s="34">
        <f t="shared" si="111"/>
        <v>0.11583920106736445</v>
      </c>
      <c r="V10" s="54">
        <f t="shared" si="112"/>
        <v>1303378.443781453</v>
      </c>
      <c r="W10" s="81">
        <f t="shared" si="113"/>
        <v>987475.91147034359</v>
      </c>
      <c r="X10" s="77" t="s">
        <v>8</v>
      </c>
      <c r="Y10" s="31" t="s">
        <v>8</v>
      </c>
      <c r="Z10" s="36">
        <f t="shared" si="114"/>
        <v>0.71781562213643135</v>
      </c>
      <c r="AA10" s="34">
        <f t="shared" si="115"/>
        <v>1.6119701652784757E-2</v>
      </c>
      <c r="AB10" s="54">
        <f t="shared" si="116"/>
        <v>212135.74135902795</v>
      </c>
      <c r="AC10" s="81">
        <f t="shared" si="117"/>
        <v>0</v>
      </c>
      <c r="AD10" s="77" t="s">
        <v>8</v>
      </c>
      <c r="AE10" s="31" t="s">
        <v>8</v>
      </c>
      <c r="AF10" s="36">
        <f t="shared" si="118"/>
        <v>0.71781562213643135</v>
      </c>
      <c r="AG10" s="34">
        <f t="shared" si="119"/>
        <v>1.6119701652784757E-2</v>
      </c>
      <c r="AH10" s="54">
        <f t="shared" si="120"/>
        <v>212135.74135902795</v>
      </c>
      <c r="AI10" s="81">
        <f t="shared" si="121"/>
        <v>0</v>
      </c>
      <c r="AJ10" s="77" t="s">
        <v>8</v>
      </c>
      <c r="AK10" s="31" t="s">
        <v>8</v>
      </c>
      <c r="AL10" s="36">
        <f t="shared" si="122"/>
        <v>0.71781562213643135</v>
      </c>
      <c r="AM10" s="34">
        <f t="shared" si="123"/>
        <v>1.6119701652784757E-2</v>
      </c>
      <c r="AN10" s="54">
        <f t="shared" si="124"/>
        <v>212135.74135902795</v>
      </c>
      <c r="AO10" s="81">
        <f t="shared" si="125"/>
        <v>0</v>
      </c>
      <c r="AP10" s="77" t="s">
        <v>8</v>
      </c>
      <c r="AQ10" s="31" t="s">
        <v>8</v>
      </c>
      <c r="AR10" s="36">
        <f t="shared" si="126"/>
        <v>0.71781562213643135</v>
      </c>
      <c r="AS10" s="34">
        <f t="shared" si="127"/>
        <v>1.6119701652784757E-2</v>
      </c>
      <c r="AT10" s="54">
        <f t="shared" si="128"/>
        <v>212135.74135902795</v>
      </c>
      <c r="AU10" s="81">
        <f t="shared" si="129"/>
        <v>0</v>
      </c>
      <c r="AV10" s="77" t="s">
        <v>8</v>
      </c>
      <c r="AW10" s="31" t="s">
        <v>8</v>
      </c>
      <c r="AX10" s="36">
        <f t="shared" si="130"/>
        <v>0.71781562213643135</v>
      </c>
      <c r="AY10" s="34">
        <f t="shared" si="131"/>
        <v>1.6119701652784757E-2</v>
      </c>
      <c r="AZ10" s="54">
        <f t="shared" si="132"/>
        <v>212135.74135902795</v>
      </c>
      <c r="BA10" s="81">
        <f t="shared" si="133"/>
        <v>0</v>
      </c>
      <c r="BB10" s="77" t="s">
        <v>8</v>
      </c>
      <c r="BC10" s="31" t="s">
        <v>8</v>
      </c>
      <c r="BD10" s="36">
        <f t="shared" si="134"/>
        <v>0.71781562213643135</v>
      </c>
      <c r="BE10" s="34">
        <f t="shared" si="135"/>
        <v>1.6119701652784757E-2</v>
      </c>
      <c r="BF10" s="54">
        <f t="shared" si="136"/>
        <v>212135.74135902795</v>
      </c>
      <c r="BG10" s="81">
        <f t="shared" si="137"/>
        <v>0</v>
      </c>
      <c r="BH10" s="77" t="s">
        <v>8</v>
      </c>
      <c r="BI10" s="31" t="s">
        <v>8</v>
      </c>
      <c r="BJ10" s="36">
        <f t="shared" si="138"/>
        <v>0.71781562213643135</v>
      </c>
      <c r="BK10" s="34">
        <f t="shared" si="139"/>
        <v>1.6119701652784757E-2</v>
      </c>
      <c r="BL10" s="54">
        <f t="shared" si="140"/>
        <v>212135.74135902795</v>
      </c>
      <c r="BM10" s="81">
        <f t="shared" si="141"/>
        <v>0</v>
      </c>
      <c r="BN10" s="77" t="s">
        <v>8</v>
      </c>
      <c r="BO10" s="31" t="s">
        <v>8</v>
      </c>
      <c r="BP10" s="36">
        <f t="shared" si="142"/>
        <v>0.71781562213643135</v>
      </c>
      <c r="BQ10" s="34">
        <f t="shared" si="143"/>
        <v>1.6119701652784757E-2</v>
      </c>
      <c r="BR10" s="54">
        <f t="shared" si="144"/>
        <v>212135.74135902795</v>
      </c>
      <c r="BS10" s="128">
        <f t="shared" si="145"/>
        <v>0</v>
      </c>
      <c r="BT10" s="77" t="s">
        <v>8</v>
      </c>
      <c r="BU10" s="31" t="s">
        <v>8</v>
      </c>
      <c r="BV10" s="36">
        <f t="shared" si="146"/>
        <v>0.71781562213643135</v>
      </c>
      <c r="BW10" s="34">
        <f t="shared" si="147"/>
        <v>1.6119701652784757E-2</v>
      </c>
      <c r="BX10" s="54">
        <f t="shared" si="148"/>
        <v>212135.74135902795</v>
      </c>
      <c r="BY10" s="128">
        <f t="shared" si="149"/>
        <v>0</v>
      </c>
      <c r="BZ10" s="77" t="s">
        <v>8</v>
      </c>
      <c r="CA10" s="31" t="s">
        <v>8</v>
      </c>
      <c r="CB10" s="36">
        <f t="shared" si="150"/>
        <v>0.71781562213643135</v>
      </c>
      <c r="CC10" s="34">
        <f t="shared" si="151"/>
        <v>1.6119701652784757E-2</v>
      </c>
      <c r="CD10" s="54">
        <f t="shared" si="152"/>
        <v>212135.74135902795</v>
      </c>
      <c r="CE10" s="128">
        <f t="shared" si="153"/>
        <v>0</v>
      </c>
      <c r="CF10" s="77" t="s">
        <v>8</v>
      </c>
      <c r="CG10" s="31" t="s">
        <v>8</v>
      </c>
      <c r="CH10" s="36">
        <f t="shared" si="154"/>
        <v>0.71781562213643135</v>
      </c>
      <c r="CI10" s="34">
        <f t="shared" si="155"/>
        <v>1.6119701652784757E-2</v>
      </c>
      <c r="CJ10" s="54">
        <f t="shared" si="156"/>
        <v>212135.74135902795</v>
      </c>
      <c r="CK10" s="128">
        <f t="shared" si="157"/>
        <v>0</v>
      </c>
      <c r="CL10" s="77" t="s">
        <v>8</v>
      </c>
      <c r="CM10" s="31" t="s">
        <v>8</v>
      </c>
      <c r="CN10" s="36">
        <f t="shared" si="158"/>
        <v>0.71781562213643135</v>
      </c>
      <c r="CO10" s="34">
        <f t="shared" si="159"/>
        <v>1.6119701652784757E-2</v>
      </c>
      <c r="CP10" s="54">
        <f t="shared" si="160"/>
        <v>212135.74135902795</v>
      </c>
      <c r="CQ10" s="128">
        <f t="shared" si="161"/>
        <v>0</v>
      </c>
      <c r="CR10" s="77" t="s">
        <v>8</v>
      </c>
      <c r="CS10" s="31" t="s">
        <v>8</v>
      </c>
      <c r="CT10" s="36">
        <f t="shared" si="162"/>
        <v>0.71781562213643135</v>
      </c>
      <c r="CU10" s="34">
        <f t="shared" si="163"/>
        <v>1.6119701652784757E-2</v>
      </c>
      <c r="CV10" s="54">
        <f t="shared" si="164"/>
        <v>212135.74135902795</v>
      </c>
      <c r="CW10" s="128">
        <f t="shared" si="165"/>
        <v>0</v>
      </c>
      <c r="CX10" s="77" t="s">
        <v>8</v>
      </c>
      <c r="CY10" s="31" t="s">
        <v>8</v>
      </c>
      <c r="CZ10" s="36">
        <f t="shared" si="166"/>
        <v>0.71781562213643135</v>
      </c>
      <c r="DA10" s="34">
        <f t="shared" si="167"/>
        <v>1.6119701652784757E-2</v>
      </c>
      <c r="DB10" s="54">
        <f t="shared" si="168"/>
        <v>212135.74135902795</v>
      </c>
      <c r="DC10" s="128">
        <f t="shared" si="169"/>
        <v>0</v>
      </c>
      <c r="DD10" s="77" t="s">
        <v>8</v>
      </c>
      <c r="DE10" s="31" t="s">
        <v>8</v>
      </c>
      <c r="DF10" s="36">
        <f t="shared" si="170"/>
        <v>0.71781562213643135</v>
      </c>
      <c r="DG10" s="34">
        <f t="shared" si="171"/>
        <v>1.6119701652784757E-2</v>
      </c>
      <c r="DH10" s="54">
        <f t="shared" si="172"/>
        <v>212135.74135902795</v>
      </c>
      <c r="DI10" s="128">
        <f t="shared" si="173"/>
        <v>0</v>
      </c>
      <c r="DJ10" s="77" t="s">
        <v>8</v>
      </c>
      <c r="DK10" s="31" t="s">
        <v>8</v>
      </c>
      <c r="DL10" s="36">
        <f t="shared" si="174"/>
        <v>0.71781562213643135</v>
      </c>
      <c r="DM10" s="34">
        <f t="shared" si="175"/>
        <v>1.6119701652784757E-2</v>
      </c>
      <c r="DN10" s="54">
        <f t="shared" si="176"/>
        <v>212135.74135902795</v>
      </c>
      <c r="DO10" s="128">
        <f t="shared" si="177"/>
        <v>0</v>
      </c>
      <c r="DP10" s="77" t="s">
        <v>8</v>
      </c>
      <c r="DQ10" s="31" t="s">
        <v>8</v>
      </c>
      <c r="DR10" s="36">
        <f t="shared" si="178"/>
        <v>0.71781562213643135</v>
      </c>
      <c r="DS10" s="34">
        <f t="shared" si="179"/>
        <v>1.6119701652784757E-2</v>
      </c>
      <c r="DT10" s="54">
        <f t="shared" si="180"/>
        <v>212135.74135902795</v>
      </c>
      <c r="DU10" s="128">
        <f t="shared" si="181"/>
        <v>0</v>
      </c>
      <c r="DV10" s="77" t="s">
        <v>8</v>
      </c>
      <c r="DW10" s="31" t="s">
        <v>8</v>
      </c>
      <c r="DX10" s="36">
        <f t="shared" si="182"/>
        <v>0.71781562213643135</v>
      </c>
      <c r="DY10" s="34">
        <f t="shared" si="183"/>
        <v>1.6119701652784757E-2</v>
      </c>
      <c r="DZ10" s="35">
        <f t="shared" si="184"/>
        <v>212135.74135902795</v>
      </c>
      <c r="EA10" s="81">
        <f t="shared" si="185"/>
        <v>0</v>
      </c>
      <c r="EB10" s="77" t="s">
        <v>8</v>
      </c>
      <c r="EC10" s="31" t="s">
        <v>8</v>
      </c>
      <c r="ED10" s="36">
        <f t="shared" si="186"/>
        <v>0.71781562213643135</v>
      </c>
      <c r="EE10" s="34">
        <f t="shared" si="187"/>
        <v>1.6119701652784757E-2</v>
      </c>
      <c r="EF10" s="35">
        <f t="shared" si="188"/>
        <v>212135.74135902795</v>
      </c>
      <c r="EG10" s="81">
        <f t="shared" si="189"/>
        <v>0</v>
      </c>
      <c r="EH10" s="77" t="s">
        <v>8</v>
      </c>
      <c r="EI10" s="31" t="s">
        <v>8</v>
      </c>
      <c r="EJ10" s="36">
        <f t="shared" si="190"/>
        <v>0.71781562213643135</v>
      </c>
      <c r="EK10" s="34">
        <f t="shared" si="191"/>
        <v>1.6119701652784757E-2</v>
      </c>
      <c r="EL10" s="35">
        <f t="shared" si="192"/>
        <v>212135.74135902795</v>
      </c>
      <c r="EM10" s="81">
        <f t="shared" si="193"/>
        <v>0</v>
      </c>
      <c r="EN10" s="77" t="s">
        <v>8</v>
      </c>
      <c r="EO10" s="31" t="s">
        <v>8</v>
      </c>
      <c r="EP10" s="36">
        <f t="shared" si="194"/>
        <v>0.71781562213643135</v>
      </c>
      <c r="EQ10" s="34">
        <f t="shared" si="195"/>
        <v>1.6119701652784757E-2</v>
      </c>
      <c r="ER10" s="35">
        <f t="shared" si="196"/>
        <v>212135.74135902795</v>
      </c>
      <c r="ES10" s="81">
        <f t="shared" si="197"/>
        <v>0</v>
      </c>
      <c r="ET10" s="77" t="s">
        <v>8</v>
      </c>
      <c r="EU10" s="31" t="s">
        <v>8</v>
      </c>
      <c r="EV10" s="36">
        <f t="shared" si="198"/>
        <v>0.71781562213643135</v>
      </c>
      <c r="EW10" s="34">
        <f t="shared" si="199"/>
        <v>1.6119701652784757E-2</v>
      </c>
      <c r="EX10" s="35">
        <f t="shared" si="200"/>
        <v>212135.74135902795</v>
      </c>
      <c r="EY10" s="81">
        <f t="shared" si="201"/>
        <v>0</v>
      </c>
      <c r="EZ10" s="77" t="s">
        <v>8</v>
      </c>
      <c r="FA10" s="31" t="s">
        <v>8</v>
      </c>
      <c r="FB10" s="36">
        <f t="shared" si="202"/>
        <v>0.71781562213643135</v>
      </c>
      <c r="FC10" s="34">
        <f t="shared" si="203"/>
        <v>1.6119701652784757E-2</v>
      </c>
      <c r="FD10" s="35">
        <f t="shared" si="204"/>
        <v>212135.74135902795</v>
      </c>
      <c r="FE10" s="81">
        <f t="shared" si="205"/>
        <v>0</v>
      </c>
      <c r="FF10" s="77" t="s">
        <v>8</v>
      </c>
      <c r="FG10" s="31" t="s">
        <v>8</v>
      </c>
      <c r="FH10" s="36">
        <f t="shared" si="206"/>
        <v>0.71781562213643135</v>
      </c>
      <c r="FI10" s="34">
        <f t="shared" si="207"/>
        <v>1.6119701652784757E-2</v>
      </c>
      <c r="FJ10" s="35">
        <f t="shared" si="208"/>
        <v>212135.74135902795</v>
      </c>
      <c r="FK10" s="81">
        <f t="shared" si="209"/>
        <v>0</v>
      </c>
      <c r="FL10" s="77" t="s">
        <v>8</v>
      </c>
      <c r="FM10" s="31" t="s">
        <v>8</v>
      </c>
      <c r="FN10" s="36">
        <f t="shared" si="210"/>
        <v>0.71781562213643135</v>
      </c>
      <c r="FO10" s="34">
        <f t="shared" si="211"/>
        <v>1.6119701652784757E-2</v>
      </c>
      <c r="FP10" s="35">
        <f t="shared" si="212"/>
        <v>212135.74135902795</v>
      </c>
      <c r="FQ10" s="81">
        <f t="shared" si="213"/>
        <v>0</v>
      </c>
      <c r="FR10" s="77" t="s">
        <v>8</v>
      </c>
      <c r="FS10" s="31" t="s">
        <v>8</v>
      </c>
      <c r="FT10" s="36">
        <f t="shared" si="214"/>
        <v>0.71781562213643135</v>
      </c>
      <c r="FU10" s="34">
        <f t="shared" si="215"/>
        <v>1.6119701652784757E-2</v>
      </c>
      <c r="FV10" s="35">
        <f t="shared" si="216"/>
        <v>212135.74135902795</v>
      </c>
      <c r="FW10" s="81">
        <f t="shared" si="217"/>
        <v>0</v>
      </c>
      <c r="FX10" s="77" t="s">
        <v>8</v>
      </c>
      <c r="FY10" s="31" t="s">
        <v>8</v>
      </c>
      <c r="FZ10" s="36">
        <f t="shared" si="218"/>
        <v>0.71781562213643135</v>
      </c>
      <c r="GA10" s="34">
        <f t="shared" si="219"/>
        <v>1.6119701652784757E-2</v>
      </c>
      <c r="GB10" s="35">
        <f t="shared" si="220"/>
        <v>212135.74135902795</v>
      </c>
      <c r="GC10" s="81">
        <f t="shared" si="221"/>
        <v>0</v>
      </c>
      <c r="GD10" s="77" t="s">
        <v>8</v>
      </c>
      <c r="GE10" s="31" t="s">
        <v>8</v>
      </c>
      <c r="GF10" s="36">
        <f t="shared" si="222"/>
        <v>0.71781562213643135</v>
      </c>
      <c r="GG10" s="34">
        <f t="shared" si="223"/>
        <v>1.6119701652784757E-2</v>
      </c>
      <c r="GH10" s="35">
        <f t="shared" si="224"/>
        <v>212135.74135902795</v>
      </c>
      <c r="GI10" s="128">
        <f t="shared" si="225"/>
        <v>0</v>
      </c>
      <c r="GJ10" s="161">
        <f t="shared" ref="GJ10:GJ16" si="228">Q10+W10+AC10+AI10+AO10+AU10+BA10+BG10+BM10+BS10+BY10+CE10+CK10+CQ10+CW10+DC10+DI10+DO10+DU10+EA10+EG10+EM10+ES10+EY10+FE10+FK10+FQ10+FW10+GC10+GI10</f>
        <v>1835778.4007318821</v>
      </c>
      <c r="GK10" s="100">
        <f t="shared" si="226"/>
        <v>2522492.8010356561</v>
      </c>
      <c r="GL10" s="87">
        <f t="shared" si="227"/>
        <v>0.71781562213643146</v>
      </c>
    </row>
    <row r="11" spans="1:194" s="26" customFormat="1" ht="16.5" thickBot="1">
      <c r="A11" s="148" t="str">
        <f>'Исходные данные 2026'!B13</f>
        <v>Знаменское сельское поселение</v>
      </c>
      <c r="B11" s="150" t="s">
        <v>8</v>
      </c>
      <c r="C11" s="150" t="s">
        <v>8</v>
      </c>
      <c r="D11" s="150" t="s">
        <v>8</v>
      </c>
      <c r="E11" s="150" t="s">
        <v>8</v>
      </c>
      <c r="F11" s="150" t="s">
        <v>8</v>
      </c>
      <c r="G11" s="109">
        <f>'Исходные данные 2026'!C13</f>
        <v>5715</v>
      </c>
      <c r="H11" s="32">
        <f>'Исходные данные 2026'!D13</f>
        <v>5790877</v>
      </c>
      <c r="I11" s="33">
        <f>'Расчет КРП'!F9</f>
        <v>2.5</v>
      </c>
      <c r="J11" s="116" t="s">
        <v>8</v>
      </c>
      <c r="K11" s="120">
        <f t="shared" si="104"/>
        <v>0.45113325921982445</v>
      </c>
      <c r="L11" s="78">
        <f t="shared" si="105"/>
        <v>4449629.0223764963</v>
      </c>
      <c r="M11" s="74">
        <f t="shared" si="106"/>
        <v>0.79777775593143307</v>
      </c>
      <c r="N11" s="31" t="s">
        <v>8</v>
      </c>
      <c r="O11" s="34">
        <f t="shared" si="107"/>
        <v>-0.39403367782769477</v>
      </c>
      <c r="P11" s="35">
        <f t="shared" si="108"/>
        <v>0</v>
      </c>
      <c r="Q11" s="81">
        <f t="shared" si="109"/>
        <v>0</v>
      </c>
      <c r="R11" s="154" t="s">
        <v>8</v>
      </c>
      <c r="S11" s="31" t="s">
        <v>8</v>
      </c>
      <c r="T11" s="36">
        <f t="shared" si="110"/>
        <v>0.79777775593143307</v>
      </c>
      <c r="U11" s="34">
        <f t="shared" si="111"/>
        <v>-0.1886463778875187</v>
      </c>
      <c r="V11" s="54">
        <f t="shared" si="112"/>
        <v>0</v>
      </c>
      <c r="W11" s="81">
        <f t="shared" si="113"/>
        <v>0</v>
      </c>
      <c r="X11" s="77" t="s">
        <v>8</v>
      </c>
      <c r="Y11" s="31" t="s">
        <v>8</v>
      </c>
      <c r="Z11" s="36">
        <f t="shared" si="114"/>
        <v>0.79777775593143307</v>
      </c>
      <c r="AA11" s="34">
        <f t="shared" si="115"/>
        <v>-6.3842432142216965E-2</v>
      </c>
      <c r="AB11" s="54">
        <f t="shared" si="116"/>
        <v>0</v>
      </c>
      <c r="AC11" s="81">
        <f t="shared" si="117"/>
        <v>0</v>
      </c>
      <c r="AD11" s="77" t="s">
        <v>8</v>
      </c>
      <c r="AE11" s="31" t="s">
        <v>8</v>
      </c>
      <c r="AF11" s="36">
        <f t="shared" si="118"/>
        <v>0.79777775593143307</v>
      </c>
      <c r="AG11" s="34">
        <f t="shared" si="119"/>
        <v>-6.3842432142216965E-2</v>
      </c>
      <c r="AH11" s="54">
        <f t="shared" si="120"/>
        <v>0</v>
      </c>
      <c r="AI11" s="81">
        <f t="shared" si="121"/>
        <v>0</v>
      </c>
      <c r="AJ11" s="77" t="s">
        <v>8</v>
      </c>
      <c r="AK11" s="31" t="s">
        <v>8</v>
      </c>
      <c r="AL11" s="36">
        <f t="shared" si="122"/>
        <v>0.79777775593143307</v>
      </c>
      <c r="AM11" s="34">
        <f t="shared" si="123"/>
        <v>-6.3842432142216965E-2</v>
      </c>
      <c r="AN11" s="54">
        <f t="shared" si="124"/>
        <v>0</v>
      </c>
      <c r="AO11" s="81">
        <f t="shared" si="125"/>
        <v>0</v>
      </c>
      <c r="AP11" s="77" t="s">
        <v>8</v>
      </c>
      <c r="AQ11" s="31" t="s">
        <v>8</v>
      </c>
      <c r="AR11" s="36">
        <f t="shared" si="126"/>
        <v>0.79777775593143307</v>
      </c>
      <c r="AS11" s="34">
        <f t="shared" si="127"/>
        <v>-6.3842432142216965E-2</v>
      </c>
      <c r="AT11" s="54">
        <f t="shared" si="128"/>
        <v>0</v>
      </c>
      <c r="AU11" s="81">
        <f t="shared" si="129"/>
        <v>0</v>
      </c>
      <c r="AV11" s="77" t="s">
        <v>8</v>
      </c>
      <c r="AW11" s="31" t="s">
        <v>8</v>
      </c>
      <c r="AX11" s="36">
        <f t="shared" si="130"/>
        <v>0.79777775593143307</v>
      </c>
      <c r="AY11" s="34">
        <f t="shared" si="131"/>
        <v>-6.3842432142216965E-2</v>
      </c>
      <c r="AZ11" s="54">
        <f t="shared" si="132"/>
        <v>0</v>
      </c>
      <c r="BA11" s="81">
        <f t="shared" si="133"/>
        <v>0</v>
      </c>
      <c r="BB11" s="77" t="s">
        <v>8</v>
      </c>
      <c r="BC11" s="31" t="s">
        <v>8</v>
      </c>
      <c r="BD11" s="36">
        <f t="shared" si="134"/>
        <v>0.79777775593143307</v>
      </c>
      <c r="BE11" s="34">
        <f t="shared" si="135"/>
        <v>-6.3842432142216965E-2</v>
      </c>
      <c r="BF11" s="54">
        <f t="shared" si="136"/>
        <v>0</v>
      </c>
      <c r="BG11" s="81">
        <f t="shared" si="137"/>
        <v>0</v>
      </c>
      <c r="BH11" s="77" t="s">
        <v>8</v>
      </c>
      <c r="BI11" s="31" t="s">
        <v>8</v>
      </c>
      <c r="BJ11" s="36">
        <f t="shared" si="138"/>
        <v>0.79777775593143307</v>
      </c>
      <c r="BK11" s="34">
        <f t="shared" si="139"/>
        <v>-6.3842432142216965E-2</v>
      </c>
      <c r="BL11" s="54">
        <f t="shared" si="140"/>
        <v>0</v>
      </c>
      <c r="BM11" s="81">
        <f t="shared" si="141"/>
        <v>0</v>
      </c>
      <c r="BN11" s="77" t="s">
        <v>8</v>
      </c>
      <c r="BO11" s="31" t="s">
        <v>8</v>
      </c>
      <c r="BP11" s="36">
        <f t="shared" si="142"/>
        <v>0.79777775593143307</v>
      </c>
      <c r="BQ11" s="34">
        <f t="shared" si="143"/>
        <v>-6.3842432142216965E-2</v>
      </c>
      <c r="BR11" s="54">
        <f t="shared" si="144"/>
        <v>0</v>
      </c>
      <c r="BS11" s="128">
        <f t="shared" si="145"/>
        <v>0</v>
      </c>
      <c r="BT11" s="77" t="s">
        <v>8</v>
      </c>
      <c r="BU11" s="31" t="s">
        <v>8</v>
      </c>
      <c r="BV11" s="36">
        <f t="shared" si="146"/>
        <v>0.79777775593143307</v>
      </c>
      <c r="BW11" s="34">
        <f t="shared" si="147"/>
        <v>-6.3842432142216965E-2</v>
      </c>
      <c r="BX11" s="54">
        <f t="shared" si="148"/>
        <v>0</v>
      </c>
      <c r="BY11" s="128">
        <f t="shared" si="149"/>
        <v>0</v>
      </c>
      <c r="BZ11" s="77" t="s">
        <v>8</v>
      </c>
      <c r="CA11" s="31" t="s">
        <v>8</v>
      </c>
      <c r="CB11" s="36">
        <f t="shared" si="150"/>
        <v>0.79777775593143307</v>
      </c>
      <c r="CC11" s="34">
        <f t="shared" si="151"/>
        <v>-6.3842432142216965E-2</v>
      </c>
      <c r="CD11" s="54">
        <f t="shared" si="152"/>
        <v>0</v>
      </c>
      <c r="CE11" s="128">
        <f t="shared" si="153"/>
        <v>0</v>
      </c>
      <c r="CF11" s="77" t="s">
        <v>8</v>
      </c>
      <c r="CG11" s="31" t="s">
        <v>8</v>
      </c>
      <c r="CH11" s="36">
        <f t="shared" si="154"/>
        <v>0.79777775593143307</v>
      </c>
      <c r="CI11" s="34">
        <f t="shared" si="155"/>
        <v>-6.3842432142216965E-2</v>
      </c>
      <c r="CJ11" s="54">
        <f t="shared" si="156"/>
        <v>0</v>
      </c>
      <c r="CK11" s="128">
        <f t="shared" si="157"/>
        <v>0</v>
      </c>
      <c r="CL11" s="77" t="s">
        <v>8</v>
      </c>
      <c r="CM11" s="31" t="s">
        <v>8</v>
      </c>
      <c r="CN11" s="36">
        <f t="shared" si="158"/>
        <v>0.79777775593143307</v>
      </c>
      <c r="CO11" s="34">
        <f t="shared" si="159"/>
        <v>-6.3842432142216965E-2</v>
      </c>
      <c r="CP11" s="54">
        <f t="shared" si="160"/>
        <v>0</v>
      </c>
      <c r="CQ11" s="128">
        <f t="shared" si="161"/>
        <v>0</v>
      </c>
      <c r="CR11" s="77" t="s">
        <v>8</v>
      </c>
      <c r="CS11" s="31" t="s">
        <v>8</v>
      </c>
      <c r="CT11" s="36">
        <f t="shared" si="162"/>
        <v>0.79777775593143307</v>
      </c>
      <c r="CU11" s="34">
        <f t="shared" si="163"/>
        <v>-6.3842432142216965E-2</v>
      </c>
      <c r="CV11" s="54">
        <f t="shared" si="164"/>
        <v>0</v>
      </c>
      <c r="CW11" s="128">
        <f t="shared" si="165"/>
        <v>0</v>
      </c>
      <c r="CX11" s="77" t="s">
        <v>8</v>
      </c>
      <c r="CY11" s="31" t="s">
        <v>8</v>
      </c>
      <c r="CZ11" s="36">
        <f t="shared" si="166"/>
        <v>0.79777775593143307</v>
      </c>
      <c r="DA11" s="34">
        <f t="shared" si="167"/>
        <v>-6.3842432142216965E-2</v>
      </c>
      <c r="DB11" s="54">
        <f t="shared" si="168"/>
        <v>0</v>
      </c>
      <c r="DC11" s="128">
        <f t="shared" si="169"/>
        <v>0</v>
      </c>
      <c r="DD11" s="77" t="s">
        <v>8</v>
      </c>
      <c r="DE11" s="31" t="s">
        <v>8</v>
      </c>
      <c r="DF11" s="36">
        <f t="shared" si="170"/>
        <v>0.79777775593143307</v>
      </c>
      <c r="DG11" s="34">
        <f t="shared" si="171"/>
        <v>-6.3842432142216965E-2</v>
      </c>
      <c r="DH11" s="54">
        <f t="shared" si="172"/>
        <v>0</v>
      </c>
      <c r="DI11" s="128">
        <f t="shared" si="173"/>
        <v>0</v>
      </c>
      <c r="DJ11" s="77" t="s">
        <v>8</v>
      </c>
      <c r="DK11" s="31" t="s">
        <v>8</v>
      </c>
      <c r="DL11" s="36">
        <f t="shared" si="174"/>
        <v>0.79777775593143307</v>
      </c>
      <c r="DM11" s="34">
        <f t="shared" si="175"/>
        <v>-6.3842432142216965E-2</v>
      </c>
      <c r="DN11" s="54">
        <f t="shared" si="176"/>
        <v>0</v>
      </c>
      <c r="DO11" s="128">
        <f t="shared" si="177"/>
        <v>0</v>
      </c>
      <c r="DP11" s="77" t="s">
        <v>8</v>
      </c>
      <c r="DQ11" s="31" t="s">
        <v>8</v>
      </c>
      <c r="DR11" s="36">
        <f t="shared" si="178"/>
        <v>0.79777775593143307</v>
      </c>
      <c r="DS11" s="34">
        <f t="shared" si="179"/>
        <v>-6.3842432142216965E-2</v>
      </c>
      <c r="DT11" s="54">
        <f t="shared" si="180"/>
        <v>0</v>
      </c>
      <c r="DU11" s="128">
        <f t="shared" si="181"/>
        <v>0</v>
      </c>
      <c r="DV11" s="77" t="s">
        <v>8</v>
      </c>
      <c r="DW11" s="31" t="s">
        <v>8</v>
      </c>
      <c r="DX11" s="36">
        <f t="shared" si="182"/>
        <v>0.79777775593143307</v>
      </c>
      <c r="DY11" s="34">
        <f t="shared" si="183"/>
        <v>-6.3842432142216965E-2</v>
      </c>
      <c r="DZ11" s="35">
        <f t="shared" si="184"/>
        <v>0</v>
      </c>
      <c r="EA11" s="81">
        <f t="shared" si="185"/>
        <v>0</v>
      </c>
      <c r="EB11" s="77" t="s">
        <v>8</v>
      </c>
      <c r="EC11" s="31" t="s">
        <v>8</v>
      </c>
      <c r="ED11" s="36">
        <f t="shared" si="186"/>
        <v>0.79777775593143307</v>
      </c>
      <c r="EE11" s="34">
        <f t="shared" si="187"/>
        <v>-6.3842432142216965E-2</v>
      </c>
      <c r="EF11" s="35">
        <f t="shared" si="188"/>
        <v>0</v>
      </c>
      <c r="EG11" s="81">
        <f t="shared" si="189"/>
        <v>0</v>
      </c>
      <c r="EH11" s="77" t="s">
        <v>8</v>
      </c>
      <c r="EI11" s="31" t="s">
        <v>8</v>
      </c>
      <c r="EJ11" s="36">
        <f t="shared" si="190"/>
        <v>0.79777775593143307</v>
      </c>
      <c r="EK11" s="34">
        <f t="shared" si="191"/>
        <v>-6.3842432142216965E-2</v>
      </c>
      <c r="EL11" s="35">
        <f t="shared" si="192"/>
        <v>0</v>
      </c>
      <c r="EM11" s="81">
        <f t="shared" si="193"/>
        <v>0</v>
      </c>
      <c r="EN11" s="77" t="s">
        <v>8</v>
      </c>
      <c r="EO11" s="31" t="s">
        <v>8</v>
      </c>
      <c r="EP11" s="36">
        <f t="shared" si="194"/>
        <v>0.79777775593143307</v>
      </c>
      <c r="EQ11" s="34">
        <f t="shared" si="195"/>
        <v>-6.3842432142216965E-2</v>
      </c>
      <c r="ER11" s="35">
        <f t="shared" si="196"/>
        <v>0</v>
      </c>
      <c r="ES11" s="81">
        <f t="shared" si="197"/>
        <v>0</v>
      </c>
      <c r="ET11" s="77" t="s">
        <v>8</v>
      </c>
      <c r="EU11" s="31" t="s">
        <v>8</v>
      </c>
      <c r="EV11" s="36">
        <f t="shared" si="198"/>
        <v>0.79777775593143307</v>
      </c>
      <c r="EW11" s="34">
        <f t="shared" si="199"/>
        <v>-6.3842432142216965E-2</v>
      </c>
      <c r="EX11" s="35">
        <f t="shared" si="200"/>
        <v>0</v>
      </c>
      <c r="EY11" s="81">
        <f t="shared" si="201"/>
        <v>0</v>
      </c>
      <c r="EZ11" s="77" t="s">
        <v>8</v>
      </c>
      <c r="FA11" s="31" t="s">
        <v>8</v>
      </c>
      <c r="FB11" s="36">
        <f t="shared" si="202"/>
        <v>0.79777775593143307</v>
      </c>
      <c r="FC11" s="34">
        <f t="shared" si="203"/>
        <v>-6.3842432142216965E-2</v>
      </c>
      <c r="FD11" s="35">
        <f t="shared" si="204"/>
        <v>0</v>
      </c>
      <c r="FE11" s="81">
        <f t="shared" si="205"/>
        <v>0</v>
      </c>
      <c r="FF11" s="77" t="s">
        <v>8</v>
      </c>
      <c r="FG11" s="31" t="s">
        <v>8</v>
      </c>
      <c r="FH11" s="36">
        <f t="shared" si="206"/>
        <v>0.79777775593143307</v>
      </c>
      <c r="FI11" s="34">
        <f t="shared" si="207"/>
        <v>-6.3842432142216965E-2</v>
      </c>
      <c r="FJ11" s="35">
        <f t="shared" si="208"/>
        <v>0</v>
      </c>
      <c r="FK11" s="81">
        <f t="shared" si="209"/>
        <v>0</v>
      </c>
      <c r="FL11" s="77" t="s">
        <v>8</v>
      </c>
      <c r="FM11" s="31" t="s">
        <v>8</v>
      </c>
      <c r="FN11" s="36">
        <f t="shared" si="210"/>
        <v>0.79777775593143307</v>
      </c>
      <c r="FO11" s="34">
        <f t="shared" si="211"/>
        <v>-6.3842432142216965E-2</v>
      </c>
      <c r="FP11" s="35">
        <f t="shared" si="212"/>
        <v>0</v>
      </c>
      <c r="FQ11" s="81">
        <f t="shared" si="213"/>
        <v>0</v>
      </c>
      <c r="FR11" s="77" t="s">
        <v>8</v>
      </c>
      <c r="FS11" s="31" t="s">
        <v>8</v>
      </c>
      <c r="FT11" s="36">
        <f t="shared" si="214"/>
        <v>0.79777775593143307</v>
      </c>
      <c r="FU11" s="34">
        <f t="shared" si="215"/>
        <v>-6.3842432142216965E-2</v>
      </c>
      <c r="FV11" s="35">
        <f t="shared" si="216"/>
        <v>0</v>
      </c>
      <c r="FW11" s="81">
        <f t="shared" si="217"/>
        <v>0</v>
      </c>
      <c r="FX11" s="77" t="s">
        <v>8</v>
      </c>
      <c r="FY11" s="31" t="s">
        <v>8</v>
      </c>
      <c r="FZ11" s="36">
        <f t="shared" si="218"/>
        <v>0.79777775593143307</v>
      </c>
      <c r="GA11" s="34">
        <f t="shared" si="219"/>
        <v>-6.3842432142216965E-2</v>
      </c>
      <c r="GB11" s="35">
        <f t="shared" si="220"/>
        <v>0</v>
      </c>
      <c r="GC11" s="81">
        <f t="shared" si="221"/>
        <v>0</v>
      </c>
      <c r="GD11" s="77" t="s">
        <v>8</v>
      </c>
      <c r="GE11" s="31" t="s">
        <v>8</v>
      </c>
      <c r="GF11" s="36">
        <f t="shared" si="222"/>
        <v>0.79777775593143307</v>
      </c>
      <c r="GG11" s="34">
        <f t="shared" si="223"/>
        <v>-6.3842432142216965E-2</v>
      </c>
      <c r="GH11" s="35">
        <f t="shared" si="224"/>
        <v>0</v>
      </c>
      <c r="GI11" s="128">
        <f t="shared" si="225"/>
        <v>0</v>
      </c>
      <c r="GJ11" s="161">
        <f t="shared" si="228"/>
        <v>0</v>
      </c>
      <c r="GK11" s="100">
        <f t="shared" si="226"/>
        <v>4449629.0223764963</v>
      </c>
      <c r="GL11" s="87">
        <f t="shared" si="227"/>
        <v>0.79777775593143307</v>
      </c>
    </row>
    <row r="12" spans="1:194" s="26" customFormat="1" ht="16.5" thickBot="1">
      <c r="A12" s="148" t="str">
        <f>'Исходные данные 2026'!B14</f>
        <v>Качуковское сельское поселение</v>
      </c>
      <c r="B12" s="150" t="s">
        <v>8</v>
      </c>
      <c r="C12" s="150" t="s">
        <v>8</v>
      </c>
      <c r="D12" s="150" t="s">
        <v>8</v>
      </c>
      <c r="E12" s="150" t="s">
        <v>8</v>
      </c>
      <c r="F12" s="150" t="s">
        <v>8</v>
      </c>
      <c r="G12" s="109">
        <f>'Исходные данные 2026'!C14</f>
        <v>419</v>
      </c>
      <c r="H12" s="32">
        <f>'Исходные данные 2026'!D14</f>
        <v>259783</v>
      </c>
      <c r="I12" s="33">
        <f>'Расчет КРП'!F10</f>
        <v>7.4945494741319951</v>
      </c>
      <c r="J12" s="116" t="s">
        <v>8</v>
      </c>
      <c r="K12" s="120">
        <f t="shared" si="104"/>
        <v>9.2080553868021608E-2</v>
      </c>
      <c r="L12" s="78">
        <f t="shared" si="105"/>
        <v>326228.26953206508</v>
      </c>
      <c r="M12" s="74">
        <f t="shared" si="106"/>
        <v>0.2077127536113412</v>
      </c>
      <c r="N12" s="31" t="s">
        <v>8</v>
      </c>
      <c r="O12" s="34">
        <f t="shared" si="107"/>
        <v>0.1960313244923971</v>
      </c>
      <c r="P12" s="35">
        <f t="shared" si="108"/>
        <v>1032338.5759467564</v>
      </c>
      <c r="Q12" s="81">
        <f t="shared" si="109"/>
        <v>1032338.5759467564</v>
      </c>
      <c r="R12" s="154" t="s">
        <v>8</v>
      </c>
      <c r="S12" s="31" t="s">
        <v>8</v>
      </c>
      <c r="T12" s="36">
        <f t="shared" si="110"/>
        <v>0.57362702764968088</v>
      </c>
      <c r="U12" s="34">
        <f t="shared" si="111"/>
        <v>3.5504350394233497E-2</v>
      </c>
      <c r="V12" s="54">
        <f t="shared" si="112"/>
        <v>256256.29551328541</v>
      </c>
      <c r="W12" s="81">
        <f t="shared" si="113"/>
        <v>194146.92654256101</v>
      </c>
      <c r="X12" s="77" t="s">
        <v>8</v>
      </c>
      <c r="Y12" s="31" t="s">
        <v>8</v>
      </c>
      <c r="Z12" s="36">
        <f t="shared" si="114"/>
        <v>0.64244275665355377</v>
      </c>
      <c r="AA12" s="34">
        <f t="shared" si="115"/>
        <v>9.1492567135662339E-2</v>
      </c>
      <c r="AB12" s="54">
        <f t="shared" si="116"/>
        <v>772361.56191786355</v>
      </c>
      <c r="AC12" s="81">
        <f t="shared" si="117"/>
        <v>0</v>
      </c>
      <c r="AD12" s="77" t="s">
        <v>8</v>
      </c>
      <c r="AE12" s="31" t="s">
        <v>8</v>
      </c>
      <c r="AF12" s="36">
        <f t="shared" si="118"/>
        <v>0.64244275665355377</v>
      </c>
      <c r="AG12" s="34">
        <f t="shared" si="119"/>
        <v>9.1492567135662339E-2</v>
      </c>
      <c r="AH12" s="54">
        <f t="shared" si="120"/>
        <v>772361.56191786355</v>
      </c>
      <c r="AI12" s="81">
        <f t="shared" si="121"/>
        <v>0</v>
      </c>
      <c r="AJ12" s="77" t="s">
        <v>8</v>
      </c>
      <c r="AK12" s="31" t="s">
        <v>8</v>
      </c>
      <c r="AL12" s="36">
        <f t="shared" si="122"/>
        <v>0.64244275665355377</v>
      </c>
      <c r="AM12" s="34">
        <f t="shared" si="123"/>
        <v>9.1492567135662339E-2</v>
      </c>
      <c r="AN12" s="54">
        <f t="shared" si="124"/>
        <v>772361.56191786355</v>
      </c>
      <c r="AO12" s="81">
        <f t="shared" si="125"/>
        <v>0</v>
      </c>
      <c r="AP12" s="77" t="s">
        <v>8</v>
      </c>
      <c r="AQ12" s="31" t="s">
        <v>8</v>
      </c>
      <c r="AR12" s="36">
        <f t="shared" si="126"/>
        <v>0.64244275665355377</v>
      </c>
      <c r="AS12" s="34">
        <f t="shared" si="127"/>
        <v>9.1492567135662339E-2</v>
      </c>
      <c r="AT12" s="54">
        <f t="shared" si="128"/>
        <v>772361.56191786355</v>
      </c>
      <c r="AU12" s="81">
        <f t="shared" si="129"/>
        <v>0</v>
      </c>
      <c r="AV12" s="77" t="s">
        <v>8</v>
      </c>
      <c r="AW12" s="31" t="s">
        <v>8</v>
      </c>
      <c r="AX12" s="36">
        <f t="shared" si="130"/>
        <v>0.64244275665355377</v>
      </c>
      <c r="AY12" s="34">
        <f t="shared" si="131"/>
        <v>9.1492567135662339E-2</v>
      </c>
      <c r="AZ12" s="54">
        <f t="shared" si="132"/>
        <v>772361.56191786355</v>
      </c>
      <c r="BA12" s="81">
        <f t="shared" si="133"/>
        <v>0</v>
      </c>
      <c r="BB12" s="77" t="s">
        <v>8</v>
      </c>
      <c r="BC12" s="31" t="s">
        <v>8</v>
      </c>
      <c r="BD12" s="36">
        <f t="shared" si="134"/>
        <v>0.64244275665355377</v>
      </c>
      <c r="BE12" s="34">
        <f t="shared" si="135"/>
        <v>9.1492567135662339E-2</v>
      </c>
      <c r="BF12" s="54">
        <f t="shared" si="136"/>
        <v>772361.56191786355</v>
      </c>
      <c r="BG12" s="81">
        <f t="shared" si="137"/>
        <v>0</v>
      </c>
      <c r="BH12" s="77" t="s">
        <v>8</v>
      </c>
      <c r="BI12" s="31" t="s">
        <v>8</v>
      </c>
      <c r="BJ12" s="36">
        <f t="shared" si="138"/>
        <v>0.64244275665355377</v>
      </c>
      <c r="BK12" s="34">
        <f t="shared" si="139"/>
        <v>9.1492567135662339E-2</v>
      </c>
      <c r="BL12" s="54">
        <f t="shared" si="140"/>
        <v>772361.56191786355</v>
      </c>
      <c r="BM12" s="81">
        <f t="shared" si="141"/>
        <v>0</v>
      </c>
      <c r="BN12" s="77" t="s">
        <v>8</v>
      </c>
      <c r="BO12" s="31" t="s">
        <v>8</v>
      </c>
      <c r="BP12" s="36">
        <f t="shared" si="142"/>
        <v>0.64244275665355377</v>
      </c>
      <c r="BQ12" s="34">
        <f t="shared" si="143"/>
        <v>9.1492567135662339E-2</v>
      </c>
      <c r="BR12" s="54">
        <f t="shared" si="144"/>
        <v>772361.56191786355</v>
      </c>
      <c r="BS12" s="128">
        <f t="shared" si="145"/>
        <v>0</v>
      </c>
      <c r="BT12" s="77" t="s">
        <v>8</v>
      </c>
      <c r="BU12" s="31" t="s">
        <v>8</v>
      </c>
      <c r="BV12" s="36">
        <f t="shared" si="146"/>
        <v>0.64244275665355377</v>
      </c>
      <c r="BW12" s="34">
        <f t="shared" si="147"/>
        <v>9.1492567135662339E-2</v>
      </c>
      <c r="BX12" s="54">
        <f t="shared" si="148"/>
        <v>772361.56191786355</v>
      </c>
      <c r="BY12" s="128">
        <f t="shared" si="149"/>
        <v>0</v>
      </c>
      <c r="BZ12" s="77" t="s">
        <v>8</v>
      </c>
      <c r="CA12" s="31" t="s">
        <v>8</v>
      </c>
      <c r="CB12" s="36">
        <f t="shared" si="150"/>
        <v>0.64244275665355377</v>
      </c>
      <c r="CC12" s="34">
        <f t="shared" si="151"/>
        <v>9.1492567135662339E-2</v>
      </c>
      <c r="CD12" s="54">
        <f t="shared" si="152"/>
        <v>772361.56191786355</v>
      </c>
      <c r="CE12" s="128">
        <f t="shared" si="153"/>
        <v>0</v>
      </c>
      <c r="CF12" s="77" t="s">
        <v>8</v>
      </c>
      <c r="CG12" s="31" t="s">
        <v>8</v>
      </c>
      <c r="CH12" s="36">
        <f t="shared" si="154"/>
        <v>0.64244275665355377</v>
      </c>
      <c r="CI12" s="34">
        <f t="shared" si="155"/>
        <v>9.1492567135662339E-2</v>
      </c>
      <c r="CJ12" s="54">
        <f t="shared" si="156"/>
        <v>772361.56191786355</v>
      </c>
      <c r="CK12" s="128">
        <f t="shared" si="157"/>
        <v>0</v>
      </c>
      <c r="CL12" s="77" t="s">
        <v>8</v>
      </c>
      <c r="CM12" s="31" t="s">
        <v>8</v>
      </c>
      <c r="CN12" s="36">
        <f t="shared" si="158"/>
        <v>0.64244275665355377</v>
      </c>
      <c r="CO12" s="34">
        <f t="shared" si="159"/>
        <v>9.1492567135662339E-2</v>
      </c>
      <c r="CP12" s="54">
        <f t="shared" si="160"/>
        <v>772361.56191786355</v>
      </c>
      <c r="CQ12" s="128">
        <f t="shared" si="161"/>
        <v>0</v>
      </c>
      <c r="CR12" s="77" t="s">
        <v>8</v>
      </c>
      <c r="CS12" s="31" t="s">
        <v>8</v>
      </c>
      <c r="CT12" s="36">
        <f t="shared" si="162"/>
        <v>0.64244275665355377</v>
      </c>
      <c r="CU12" s="34">
        <f t="shared" si="163"/>
        <v>9.1492567135662339E-2</v>
      </c>
      <c r="CV12" s="54">
        <f t="shared" si="164"/>
        <v>772361.56191786355</v>
      </c>
      <c r="CW12" s="128">
        <f t="shared" si="165"/>
        <v>0</v>
      </c>
      <c r="CX12" s="77" t="s">
        <v>8</v>
      </c>
      <c r="CY12" s="31" t="s">
        <v>8</v>
      </c>
      <c r="CZ12" s="36">
        <f t="shared" si="166"/>
        <v>0.64244275665355377</v>
      </c>
      <c r="DA12" s="34">
        <f t="shared" si="167"/>
        <v>9.1492567135662339E-2</v>
      </c>
      <c r="DB12" s="54">
        <f t="shared" si="168"/>
        <v>772361.56191786355</v>
      </c>
      <c r="DC12" s="128">
        <f t="shared" si="169"/>
        <v>0</v>
      </c>
      <c r="DD12" s="77" t="s">
        <v>8</v>
      </c>
      <c r="DE12" s="31" t="s">
        <v>8</v>
      </c>
      <c r="DF12" s="36">
        <f t="shared" si="170"/>
        <v>0.64244275665355377</v>
      </c>
      <c r="DG12" s="34">
        <f t="shared" si="171"/>
        <v>9.1492567135662339E-2</v>
      </c>
      <c r="DH12" s="54">
        <f t="shared" si="172"/>
        <v>772361.56191786355</v>
      </c>
      <c r="DI12" s="128">
        <f t="shared" si="173"/>
        <v>0</v>
      </c>
      <c r="DJ12" s="77" t="s">
        <v>8</v>
      </c>
      <c r="DK12" s="31" t="s">
        <v>8</v>
      </c>
      <c r="DL12" s="36">
        <f t="shared" si="174"/>
        <v>0.64244275665355377</v>
      </c>
      <c r="DM12" s="34">
        <f t="shared" si="175"/>
        <v>9.1492567135662339E-2</v>
      </c>
      <c r="DN12" s="54">
        <f t="shared" si="176"/>
        <v>772361.56191786355</v>
      </c>
      <c r="DO12" s="128">
        <f t="shared" si="177"/>
        <v>0</v>
      </c>
      <c r="DP12" s="77" t="s">
        <v>8</v>
      </c>
      <c r="DQ12" s="31" t="s">
        <v>8</v>
      </c>
      <c r="DR12" s="36">
        <f t="shared" si="178"/>
        <v>0.64244275665355377</v>
      </c>
      <c r="DS12" s="34">
        <f t="shared" si="179"/>
        <v>9.1492567135662339E-2</v>
      </c>
      <c r="DT12" s="54">
        <f t="shared" si="180"/>
        <v>772361.56191786355</v>
      </c>
      <c r="DU12" s="128">
        <f t="shared" si="181"/>
        <v>0</v>
      </c>
      <c r="DV12" s="77" t="s">
        <v>8</v>
      </c>
      <c r="DW12" s="31" t="s">
        <v>8</v>
      </c>
      <c r="DX12" s="36">
        <f t="shared" si="182"/>
        <v>0.64244275665355377</v>
      </c>
      <c r="DY12" s="34">
        <f t="shared" si="183"/>
        <v>9.1492567135662339E-2</v>
      </c>
      <c r="DZ12" s="35">
        <f t="shared" si="184"/>
        <v>772361.56191786355</v>
      </c>
      <c r="EA12" s="81">
        <f t="shared" si="185"/>
        <v>0</v>
      </c>
      <c r="EB12" s="77" t="s">
        <v>8</v>
      </c>
      <c r="EC12" s="31" t="s">
        <v>8</v>
      </c>
      <c r="ED12" s="36">
        <f t="shared" si="186"/>
        <v>0.64244275665355377</v>
      </c>
      <c r="EE12" s="34">
        <f t="shared" si="187"/>
        <v>9.1492567135662339E-2</v>
      </c>
      <c r="EF12" s="35">
        <f t="shared" si="188"/>
        <v>772361.56191786355</v>
      </c>
      <c r="EG12" s="81">
        <f t="shared" si="189"/>
        <v>0</v>
      </c>
      <c r="EH12" s="77" t="s">
        <v>8</v>
      </c>
      <c r="EI12" s="31" t="s">
        <v>8</v>
      </c>
      <c r="EJ12" s="36">
        <f t="shared" si="190"/>
        <v>0.64244275665355377</v>
      </c>
      <c r="EK12" s="34">
        <f t="shared" si="191"/>
        <v>9.1492567135662339E-2</v>
      </c>
      <c r="EL12" s="35">
        <f t="shared" si="192"/>
        <v>772361.56191786355</v>
      </c>
      <c r="EM12" s="81">
        <f t="shared" si="193"/>
        <v>0</v>
      </c>
      <c r="EN12" s="77" t="s">
        <v>8</v>
      </c>
      <c r="EO12" s="31" t="s">
        <v>8</v>
      </c>
      <c r="EP12" s="36">
        <f t="shared" si="194"/>
        <v>0.64244275665355377</v>
      </c>
      <c r="EQ12" s="34">
        <f t="shared" si="195"/>
        <v>9.1492567135662339E-2</v>
      </c>
      <c r="ER12" s="35">
        <f t="shared" si="196"/>
        <v>772361.56191786355</v>
      </c>
      <c r="ES12" s="81">
        <f t="shared" si="197"/>
        <v>0</v>
      </c>
      <c r="ET12" s="77" t="s">
        <v>8</v>
      </c>
      <c r="EU12" s="31" t="s">
        <v>8</v>
      </c>
      <c r="EV12" s="36">
        <f t="shared" si="198"/>
        <v>0.64244275665355377</v>
      </c>
      <c r="EW12" s="34">
        <f t="shared" si="199"/>
        <v>9.1492567135662339E-2</v>
      </c>
      <c r="EX12" s="35">
        <f t="shared" si="200"/>
        <v>772361.56191786355</v>
      </c>
      <c r="EY12" s="81">
        <f t="shared" si="201"/>
        <v>0</v>
      </c>
      <c r="EZ12" s="77" t="s">
        <v>8</v>
      </c>
      <c r="FA12" s="31" t="s">
        <v>8</v>
      </c>
      <c r="FB12" s="36">
        <f t="shared" si="202"/>
        <v>0.64244275665355377</v>
      </c>
      <c r="FC12" s="34">
        <f t="shared" si="203"/>
        <v>9.1492567135662339E-2</v>
      </c>
      <c r="FD12" s="35">
        <f t="shared" si="204"/>
        <v>772361.56191786355</v>
      </c>
      <c r="FE12" s="81">
        <f t="shared" si="205"/>
        <v>0</v>
      </c>
      <c r="FF12" s="77" t="s">
        <v>8</v>
      </c>
      <c r="FG12" s="31" t="s">
        <v>8</v>
      </c>
      <c r="FH12" s="36">
        <f t="shared" si="206"/>
        <v>0.64244275665355377</v>
      </c>
      <c r="FI12" s="34">
        <f t="shared" si="207"/>
        <v>9.1492567135662339E-2</v>
      </c>
      <c r="FJ12" s="35">
        <f t="shared" si="208"/>
        <v>772361.56191786355</v>
      </c>
      <c r="FK12" s="81">
        <f t="shared" si="209"/>
        <v>0</v>
      </c>
      <c r="FL12" s="77" t="s">
        <v>8</v>
      </c>
      <c r="FM12" s="31" t="s">
        <v>8</v>
      </c>
      <c r="FN12" s="36">
        <f t="shared" si="210"/>
        <v>0.64244275665355377</v>
      </c>
      <c r="FO12" s="34">
        <f t="shared" si="211"/>
        <v>9.1492567135662339E-2</v>
      </c>
      <c r="FP12" s="35">
        <f t="shared" si="212"/>
        <v>772361.56191786355</v>
      </c>
      <c r="FQ12" s="81">
        <f t="shared" si="213"/>
        <v>0</v>
      </c>
      <c r="FR12" s="77" t="s">
        <v>8</v>
      </c>
      <c r="FS12" s="31" t="s">
        <v>8</v>
      </c>
      <c r="FT12" s="36">
        <f t="shared" si="214"/>
        <v>0.64244275665355377</v>
      </c>
      <c r="FU12" s="34">
        <f t="shared" si="215"/>
        <v>9.1492567135662339E-2</v>
      </c>
      <c r="FV12" s="35">
        <f t="shared" si="216"/>
        <v>772361.56191786355</v>
      </c>
      <c r="FW12" s="81">
        <f t="shared" si="217"/>
        <v>0</v>
      </c>
      <c r="FX12" s="77" t="s">
        <v>8</v>
      </c>
      <c r="FY12" s="31" t="s">
        <v>8</v>
      </c>
      <c r="FZ12" s="36">
        <f t="shared" si="218"/>
        <v>0.64244275665355377</v>
      </c>
      <c r="GA12" s="34">
        <f t="shared" si="219"/>
        <v>9.1492567135662339E-2</v>
      </c>
      <c r="GB12" s="35">
        <f t="shared" si="220"/>
        <v>772361.56191786355</v>
      </c>
      <c r="GC12" s="81">
        <f t="shared" si="221"/>
        <v>0</v>
      </c>
      <c r="GD12" s="77" t="s">
        <v>8</v>
      </c>
      <c r="GE12" s="31" t="s">
        <v>8</v>
      </c>
      <c r="GF12" s="36">
        <f t="shared" si="222"/>
        <v>0.64244275665355377</v>
      </c>
      <c r="GG12" s="34">
        <f t="shared" si="223"/>
        <v>9.1492567135662339E-2</v>
      </c>
      <c r="GH12" s="35">
        <f t="shared" si="224"/>
        <v>772361.56191786355</v>
      </c>
      <c r="GI12" s="128">
        <f t="shared" si="225"/>
        <v>0</v>
      </c>
      <c r="GJ12" s="161">
        <f t="shared" si="228"/>
        <v>1226485.5024893174</v>
      </c>
      <c r="GK12" s="100">
        <f t="shared" si="226"/>
        <v>1552713.7720213826</v>
      </c>
      <c r="GL12" s="87">
        <f t="shared" si="227"/>
        <v>0.64244275665355388</v>
      </c>
    </row>
    <row r="13" spans="1:194" s="26" customFormat="1" ht="15.75" customHeight="1" thickBot="1">
      <c r="A13" s="148" t="str">
        <f>'Исходные данные 2026'!B15</f>
        <v>Новоягодинское сельское поселение</v>
      </c>
      <c r="B13" s="150" t="s">
        <v>8</v>
      </c>
      <c r="C13" s="150" t="s">
        <v>8</v>
      </c>
      <c r="D13" s="150" t="s">
        <v>8</v>
      </c>
      <c r="E13" s="150" t="s">
        <v>8</v>
      </c>
      <c r="F13" s="150" t="s">
        <v>8</v>
      </c>
      <c r="G13" s="109">
        <f>'Исходные данные 2026'!C15</f>
        <v>592</v>
      </c>
      <c r="H13" s="32">
        <f>'Исходные данные 2026'!D15</f>
        <v>480738</v>
      </c>
      <c r="I13" s="33">
        <f>'Расчет КРП'!F11</f>
        <v>6.6674309179279225</v>
      </c>
      <c r="J13" s="116" t="s">
        <v>8</v>
      </c>
      <c r="K13" s="120">
        <f t="shared" si="104"/>
        <v>0.13556418579632454</v>
      </c>
      <c r="L13" s="78">
        <f t="shared" si="105"/>
        <v>460923.95122430194</v>
      </c>
      <c r="M13" s="74">
        <f t="shared" si="106"/>
        <v>0.26554097182477931</v>
      </c>
      <c r="N13" s="31" t="s">
        <v>8</v>
      </c>
      <c r="O13" s="34">
        <f t="shared" si="107"/>
        <v>0.13820310627895899</v>
      </c>
      <c r="P13" s="35">
        <f t="shared" si="108"/>
        <v>914818.97446348565</v>
      </c>
      <c r="Q13" s="81">
        <f t="shared" si="109"/>
        <v>914818.97446348565</v>
      </c>
      <c r="R13" s="154" t="s">
        <v>8</v>
      </c>
      <c r="S13" s="31" t="s">
        <v>8</v>
      </c>
      <c r="T13" s="36">
        <f t="shared" si="110"/>
        <v>0.52351244365386507</v>
      </c>
      <c r="U13" s="34">
        <f t="shared" si="111"/>
        <v>8.5618934390049306E-2</v>
      </c>
      <c r="V13" s="54">
        <f t="shared" si="112"/>
        <v>776753.94643249793</v>
      </c>
      <c r="W13" s="81">
        <f t="shared" si="113"/>
        <v>588490.48401956703</v>
      </c>
      <c r="X13" s="77" t="s">
        <v>8</v>
      </c>
      <c r="Y13" s="31" t="s">
        <v>8</v>
      </c>
      <c r="Z13" s="36">
        <f t="shared" si="114"/>
        <v>0.6894619490289291</v>
      </c>
      <c r="AA13" s="34">
        <f t="shared" si="115"/>
        <v>4.447337476028701E-2</v>
      </c>
      <c r="AB13" s="54">
        <f t="shared" si="116"/>
        <v>471906.11215276649</v>
      </c>
      <c r="AC13" s="81">
        <f t="shared" si="117"/>
        <v>0</v>
      </c>
      <c r="AD13" s="77" t="s">
        <v>8</v>
      </c>
      <c r="AE13" s="31" t="s">
        <v>8</v>
      </c>
      <c r="AF13" s="36">
        <f t="shared" si="118"/>
        <v>0.6894619490289291</v>
      </c>
      <c r="AG13" s="34">
        <f t="shared" si="119"/>
        <v>4.447337476028701E-2</v>
      </c>
      <c r="AH13" s="54">
        <f t="shared" si="120"/>
        <v>471906.11215276649</v>
      </c>
      <c r="AI13" s="81">
        <f t="shared" si="121"/>
        <v>0</v>
      </c>
      <c r="AJ13" s="77" t="s">
        <v>8</v>
      </c>
      <c r="AK13" s="31" t="s">
        <v>8</v>
      </c>
      <c r="AL13" s="36">
        <f t="shared" si="122"/>
        <v>0.6894619490289291</v>
      </c>
      <c r="AM13" s="34">
        <f t="shared" si="123"/>
        <v>4.447337476028701E-2</v>
      </c>
      <c r="AN13" s="54">
        <f t="shared" si="124"/>
        <v>471906.11215276649</v>
      </c>
      <c r="AO13" s="81">
        <f t="shared" si="125"/>
        <v>0</v>
      </c>
      <c r="AP13" s="77" t="s">
        <v>8</v>
      </c>
      <c r="AQ13" s="31" t="s">
        <v>8</v>
      </c>
      <c r="AR13" s="36">
        <f t="shared" si="126"/>
        <v>0.6894619490289291</v>
      </c>
      <c r="AS13" s="34">
        <f t="shared" si="127"/>
        <v>4.447337476028701E-2</v>
      </c>
      <c r="AT13" s="54">
        <f t="shared" si="128"/>
        <v>471906.11215276649</v>
      </c>
      <c r="AU13" s="81">
        <f t="shared" si="129"/>
        <v>0</v>
      </c>
      <c r="AV13" s="77" t="s">
        <v>8</v>
      </c>
      <c r="AW13" s="31" t="s">
        <v>8</v>
      </c>
      <c r="AX13" s="36">
        <f t="shared" si="130"/>
        <v>0.6894619490289291</v>
      </c>
      <c r="AY13" s="34">
        <f t="shared" si="131"/>
        <v>4.447337476028701E-2</v>
      </c>
      <c r="AZ13" s="54">
        <f t="shared" si="132"/>
        <v>471906.11215276649</v>
      </c>
      <c r="BA13" s="81">
        <f t="shared" si="133"/>
        <v>0</v>
      </c>
      <c r="BB13" s="77" t="s">
        <v>8</v>
      </c>
      <c r="BC13" s="31" t="s">
        <v>8</v>
      </c>
      <c r="BD13" s="36">
        <f t="shared" si="134"/>
        <v>0.6894619490289291</v>
      </c>
      <c r="BE13" s="34">
        <f t="shared" si="135"/>
        <v>4.447337476028701E-2</v>
      </c>
      <c r="BF13" s="54">
        <f t="shared" si="136"/>
        <v>471906.11215276649</v>
      </c>
      <c r="BG13" s="81">
        <f t="shared" si="137"/>
        <v>0</v>
      </c>
      <c r="BH13" s="77" t="s">
        <v>8</v>
      </c>
      <c r="BI13" s="31" t="s">
        <v>8</v>
      </c>
      <c r="BJ13" s="36">
        <f t="shared" si="138"/>
        <v>0.6894619490289291</v>
      </c>
      <c r="BK13" s="34">
        <f t="shared" si="139"/>
        <v>4.447337476028701E-2</v>
      </c>
      <c r="BL13" s="54">
        <f t="shared" si="140"/>
        <v>471906.11215276649</v>
      </c>
      <c r="BM13" s="81">
        <f t="shared" si="141"/>
        <v>0</v>
      </c>
      <c r="BN13" s="77" t="s">
        <v>8</v>
      </c>
      <c r="BO13" s="31" t="s">
        <v>8</v>
      </c>
      <c r="BP13" s="36">
        <f t="shared" si="142"/>
        <v>0.6894619490289291</v>
      </c>
      <c r="BQ13" s="34">
        <f t="shared" si="143"/>
        <v>4.447337476028701E-2</v>
      </c>
      <c r="BR13" s="54">
        <f t="shared" si="144"/>
        <v>471906.11215276649</v>
      </c>
      <c r="BS13" s="128">
        <f t="shared" si="145"/>
        <v>0</v>
      </c>
      <c r="BT13" s="77" t="s">
        <v>8</v>
      </c>
      <c r="BU13" s="31" t="s">
        <v>8</v>
      </c>
      <c r="BV13" s="36">
        <f t="shared" si="146"/>
        <v>0.6894619490289291</v>
      </c>
      <c r="BW13" s="34">
        <f t="shared" si="147"/>
        <v>4.447337476028701E-2</v>
      </c>
      <c r="BX13" s="54">
        <f t="shared" si="148"/>
        <v>471906.11215276649</v>
      </c>
      <c r="BY13" s="128">
        <f t="shared" si="149"/>
        <v>0</v>
      </c>
      <c r="BZ13" s="77" t="s">
        <v>8</v>
      </c>
      <c r="CA13" s="31" t="s">
        <v>8</v>
      </c>
      <c r="CB13" s="36">
        <f t="shared" si="150"/>
        <v>0.6894619490289291</v>
      </c>
      <c r="CC13" s="34">
        <f t="shared" si="151"/>
        <v>4.447337476028701E-2</v>
      </c>
      <c r="CD13" s="54">
        <f t="shared" si="152"/>
        <v>471906.11215276649</v>
      </c>
      <c r="CE13" s="128">
        <f t="shared" si="153"/>
        <v>0</v>
      </c>
      <c r="CF13" s="77" t="s">
        <v>8</v>
      </c>
      <c r="CG13" s="31" t="s">
        <v>8</v>
      </c>
      <c r="CH13" s="36">
        <f t="shared" si="154"/>
        <v>0.6894619490289291</v>
      </c>
      <c r="CI13" s="34">
        <f t="shared" si="155"/>
        <v>4.447337476028701E-2</v>
      </c>
      <c r="CJ13" s="54">
        <f t="shared" si="156"/>
        <v>471906.11215276649</v>
      </c>
      <c r="CK13" s="128">
        <f t="shared" si="157"/>
        <v>0</v>
      </c>
      <c r="CL13" s="77" t="s">
        <v>8</v>
      </c>
      <c r="CM13" s="31" t="s">
        <v>8</v>
      </c>
      <c r="CN13" s="36">
        <f t="shared" si="158"/>
        <v>0.6894619490289291</v>
      </c>
      <c r="CO13" s="34">
        <f t="shared" si="159"/>
        <v>4.447337476028701E-2</v>
      </c>
      <c r="CP13" s="54">
        <f t="shared" si="160"/>
        <v>471906.11215276649</v>
      </c>
      <c r="CQ13" s="128">
        <f t="shared" si="161"/>
        <v>0</v>
      </c>
      <c r="CR13" s="77" t="s">
        <v>8</v>
      </c>
      <c r="CS13" s="31" t="s">
        <v>8</v>
      </c>
      <c r="CT13" s="36">
        <f t="shared" si="162"/>
        <v>0.6894619490289291</v>
      </c>
      <c r="CU13" s="34">
        <f t="shared" si="163"/>
        <v>4.447337476028701E-2</v>
      </c>
      <c r="CV13" s="54">
        <f t="shared" si="164"/>
        <v>471906.11215276649</v>
      </c>
      <c r="CW13" s="128">
        <f t="shared" si="165"/>
        <v>0</v>
      </c>
      <c r="CX13" s="77" t="s">
        <v>8</v>
      </c>
      <c r="CY13" s="31" t="s">
        <v>8</v>
      </c>
      <c r="CZ13" s="36">
        <f t="shared" si="166"/>
        <v>0.6894619490289291</v>
      </c>
      <c r="DA13" s="34">
        <f t="shared" si="167"/>
        <v>4.447337476028701E-2</v>
      </c>
      <c r="DB13" s="54">
        <f t="shared" si="168"/>
        <v>471906.11215276649</v>
      </c>
      <c r="DC13" s="128">
        <f t="shared" si="169"/>
        <v>0</v>
      </c>
      <c r="DD13" s="77" t="s">
        <v>8</v>
      </c>
      <c r="DE13" s="31" t="s">
        <v>8</v>
      </c>
      <c r="DF13" s="36">
        <f t="shared" si="170"/>
        <v>0.6894619490289291</v>
      </c>
      <c r="DG13" s="34">
        <f t="shared" si="171"/>
        <v>4.447337476028701E-2</v>
      </c>
      <c r="DH13" s="54">
        <f t="shared" si="172"/>
        <v>471906.11215276649</v>
      </c>
      <c r="DI13" s="128">
        <f t="shared" si="173"/>
        <v>0</v>
      </c>
      <c r="DJ13" s="77" t="s">
        <v>8</v>
      </c>
      <c r="DK13" s="31" t="s">
        <v>8</v>
      </c>
      <c r="DL13" s="36">
        <f t="shared" si="174"/>
        <v>0.6894619490289291</v>
      </c>
      <c r="DM13" s="34">
        <f t="shared" si="175"/>
        <v>4.447337476028701E-2</v>
      </c>
      <c r="DN13" s="54">
        <f t="shared" si="176"/>
        <v>471906.11215276649</v>
      </c>
      <c r="DO13" s="128">
        <f t="shared" si="177"/>
        <v>0</v>
      </c>
      <c r="DP13" s="77" t="s">
        <v>8</v>
      </c>
      <c r="DQ13" s="31" t="s">
        <v>8</v>
      </c>
      <c r="DR13" s="36">
        <f t="shared" si="178"/>
        <v>0.6894619490289291</v>
      </c>
      <c r="DS13" s="34">
        <f t="shared" si="179"/>
        <v>4.447337476028701E-2</v>
      </c>
      <c r="DT13" s="54">
        <f t="shared" si="180"/>
        <v>471906.11215276649</v>
      </c>
      <c r="DU13" s="128">
        <f t="shared" si="181"/>
        <v>0</v>
      </c>
      <c r="DV13" s="77" t="s">
        <v>8</v>
      </c>
      <c r="DW13" s="31" t="s">
        <v>8</v>
      </c>
      <c r="DX13" s="36">
        <f t="shared" si="182"/>
        <v>0.6894619490289291</v>
      </c>
      <c r="DY13" s="34">
        <f t="shared" si="183"/>
        <v>4.447337476028701E-2</v>
      </c>
      <c r="DZ13" s="35">
        <f t="shared" si="184"/>
        <v>471906.11215276649</v>
      </c>
      <c r="EA13" s="81">
        <f t="shared" si="185"/>
        <v>0</v>
      </c>
      <c r="EB13" s="77" t="s">
        <v>8</v>
      </c>
      <c r="EC13" s="31" t="s">
        <v>8</v>
      </c>
      <c r="ED13" s="36">
        <f t="shared" si="186"/>
        <v>0.6894619490289291</v>
      </c>
      <c r="EE13" s="34">
        <f t="shared" si="187"/>
        <v>4.447337476028701E-2</v>
      </c>
      <c r="EF13" s="35">
        <f t="shared" si="188"/>
        <v>471906.11215276649</v>
      </c>
      <c r="EG13" s="81">
        <f t="shared" si="189"/>
        <v>0</v>
      </c>
      <c r="EH13" s="77" t="s">
        <v>8</v>
      </c>
      <c r="EI13" s="31" t="s">
        <v>8</v>
      </c>
      <c r="EJ13" s="36">
        <f t="shared" si="190"/>
        <v>0.6894619490289291</v>
      </c>
      <c r="EK13" s="34">
        <f t="shared" si="191"/>
        <v>4.447337476028701E-2</v>
      </c>
      <c r="EL13" s="35">
        <f t="shared" si="192"/>
        <v>471906.11215276649</v>
      </c>
      <c r="EM13" s="81">
        <f t="shared" si="193"/>
        <v>0</v>
      </c>
      <c r="EN13" s="77" t="s">
        <v>8</v>
      </c>
      <c r="EO13" s="31" t="s">
        <v>8</v>
      </c>
      <c r="EP13" s="36">
        <f t="shared" si="194"/>
        <v>0.6894619490289291</v>
      </c>
      <c r="EQ13" s="34">
        <f t="shared" si="195"/>
        <v>4.447337476028701E-2</v>
      </c>
      <c r="ER13" s="35">
        <f t="shared" si="196"/>
        <v>471906.11215276649</v>
      </c>
      <c r="ES13" s="81">
        <f t="shared" si="197"/>
        <v>0</v>
      </c>
      <c r="ET13" s="77" t="s">
        <v>8</v>
      </c>
      <c r="EU13" s="31" t="s">
        <v>8</v>
      </c>
      <c r="EV13" s="36">
        <f t="shared" si="198"/>
        <v>0.6894619490289291</v>
      </c>
      <c r="EW13" s="34">
        <f t="shared" si="199"/>
        <v>4.447337476028701E-2</v>
      </c>
      <c r="EX13" s="35">
        <f t="shared" si="200"/>
        <v>471906.11215276649</v>
      </c>
      <c r="EY13" s="81">
        <f t="shared" si="201"/>
        <v>0</v>
      </c>
      <c r="EZ13" s="77" t="s">
        <v>8</v>
      </c>
      <c r="FA13" s="31" t="s">
        <v>8</v>
      </c>
      <c r="FB13" s="36">
        <f t="shared" si="202"/>
        <v>0.6894619490289291</v>
      </c>
      <c r="FC13" s="34">
        <f t="shared" si="203"/>
        <v>4.447337476028701E-2</v>
      </c>
      <c r="FD13" s="35">
        <f t="shared" si="204"/>
        <v>471906.11215276649</v>
      </c>
      <c r="FE13" s="81">
        <f t="shared" si="205"/>
        <v>0</v>
      </c>
      <c r="FF13" s="77" t="s">
        <v>8</v>
      </c>
      <c r="FG13" s="31" t="s">
        <v>8</v>
      </c>
      <c r="FH13" s="36">
        <f t="shared" si="206"/>
        <v>0.6894619490289291</v>
      </c>
      <c r="FI13" s="34">
        <f t="shared" si="207"/>
        <v>4.447337476028701E-2</v>
      </c>
      <c r="FJ13" s="35">
        <f t="shared" si="208"/>
        <v>471906.11215276649</v>
      </c>
      <c r="FK13" s="81">
        <f t="shared" si="209"/>
        <v>0</v>
      </c>
      <c r="FL13" s="77" t="s">
        <v>8</v>
      </c>
      <c r="FM13" s="31" t="s">
        <v>8</v>
      </c>
      <c r="FN13" s="36">
        <f t="shared" si="210"/>
        <v>0.6894619490289291</v>
      </c>
      <c r="FO13" s="34">
        <f t="shared" si="211"/>
        <v>4.447337476028701E-2</v>
      </c>
      <c r="FP13" s="35">
        <f t="shared" si="212"/>
        <v>471906.11215276649</v>
      </c>
      <c r="FQ13" s="81">
        <f t="shared" si="213"/>
        <v>0</v>
      </c>
      <c r="FR13" s="77" t="s">
        <v>8</v>
      </c>
      <c r="FS13" s="31" t="s">
        <v>8</v>
      </c>
      <c r="FT13" s="36">
        <f t="shared" si="214"/>
        <v>0.6894619490289291</v>
      </c>
      <c r="FU13" s="34">
        <f t="shared" si="215"/>
        <v>4.447337476028701E-2</v>
      </c>
      <c r="FV13" s="35">
        <f t="shared" si="216"/>
        <v>471906.11215276649</v>
      </c>
      <c r="FW13" s="81">
        <f t="shared" si="217"/>
        <v>0</v>
      </c>
      <c r="FX13" s="77" t="s">
        <v>8</v>
      </c>
      <c r="FY13" s="31" t="s">
        <v>8</v>
      </c>
      <c r="FZ13" s="36">
        <f t="shared" si="218"/>
        <v>0.6894619490289291</v>
      </c>
      <c r="GA13" s="34">
        <f t="shared" si="219"/>
        <v>4.447337476028701E-2</v>
      </c>
      <c r="GB13" s="35">
        <f t="shared" si="220"/>
        <v>471906.11215276649</v>
      </c>
      <c r="GC13" s="81">
        <f t="shared" si="221"/>
        <v>0</v>
      </c>
      <c r="GD13" s="77" t="s">
        <v>8</v>
      </c>
      <c r="GE13" s="31" t="s">
        <v>8</v>
      </c>
      <c r="GF13" s="36">
        <f t="shared" si="222"/>
        <v>0.6894619490289291</v>
      </c>
      <c r="GG13" s="34">
        <f t="shared" si="223"/>
        <v>4.447337476028701E-2</v>
      </c>
      <c r="GH13" s="35">
        <f t="shared" si="224"/>
        <v>471906.11215276649</v>
      </c>
      <c r="GI13" s="128">
        <f t="shared" si="225"/>
        <v>0</v>
      </c>
      <c r="GJ13" s="161">
        <f t="shared" si="228"/>
        <v>1503309.4584830527</v>
      </c>
      <c r="GK13" s="100">
        <f t="shared" si="226"/>
        <v>1964233.4097073546</v>
      </c>
      <c r="GL13" s="87">
        <f t="shared" si="227"/>
        <v>0.6894619490289291</v>
      </c>
    </row>
    <row r="14" spans="1:194" s="26" customFormat="1" ht="16.5" thickBot="1">
      <c r="A14" s="148" t="str">
        <f>'Исходные данные 2026'!B16</f>
        <v>Семеновское сельское поселение</v>
      </c>
      <c r="B14" s="150" t="s">
        <v>8</v>
      </c>
      <c r="C14" s="150" t="s">
        <v>8</v>
      </c>
      <c r="D14" s="150" t="s">
        <v>8</v>
      </c>
      <c r="E14" s="150" t="s">
        <v>8</v>
      </c>
      <c r="F14" s="150" t="s">
        <v>8</v>
      </c>
      <c r="G14" s="109">
        <f>'Исходные данные 2026'!C16</f>
        <v>592</v>
      </c>
      <c r="H14" s="32">
        <f>'Исходные данные 2026'!D16</f>
        <v>279973</v>
      </c>
      <c r="I14" s="33">
        <f>'Расчет КРП'!F12</f>
        <v>6.4130243089430117</v>
      </c>
      <c r="J14" s="116" t="s">
        <v>8</v>
      </c>
      <c r="K14" s="120">
        <f t="shared" si="104"/>
        <v>8.2082071291491546E-2</v>
      </c>
      <c r="L14" s="78">
        <f t="shared" si="105"/>
        <v>460923.95122430194</v>
      </c>
      <c r="M14" s="74">
        <f t="shared" si="106"/>
        <v>0.21721507563244272</v>
      </c>
      <c r="N14" s="31" t="s">
        <v>8</v>
      </c>
      <c r="O14" s="34">
        <f t="shared" si="107"/>
        <v>0.18652900247129559</v>
      </c>
      <c r="P14" s="35">
        <f t="shared" si="108"/>
        <v>1187594.2566293974</v>
      </c>
      <c r="Q14" s="81">
        <f t="shared" si="109"/>
        <v>1187594.2566293974</v>
      </c>
      <c r="R14" s="154" t="s">
        <v>8</v>
      </c>
      <c r="S14" s="31" t="s">
        <v>8</v>
      </c>
      <c r="T14" s="36">
        <f t="shared" si="110"/>
        <v>0.56539220856319006</v>
      </c>
      <c r="U14" s="34">
        <f t="shared" si="111"/>
        <v>4.3739169480724316E-2</v>
      </c>
      <c r="V14" s="54">
        <f t="shared" si="112"/>
        <v>381670.45623998757</v>
      </c>
      <c r="W14" s="81">
        <f t="shared" si="113"/>
        <v>289164.19744017156</v>
      </c>
      <c r="X14" s="77" t="s">
        <v>8</v>
      </c>
      <c r="Y14" s="31" t="s">
        <v>8</v>
      </c>
      <c r="Z14" s="36">
        <f t="shared" si="114"/>
        <v>0.65016894156684069</v>
      </c>
      <c r="AA14" s="34">
        <f t="shared" si="115"/>
        <v>8.3766382222375424E-2</v>
      </c>
      <c r="AB14" s="54">
        <f t="shared" si="116"/>
        <v>854928.18878498755</v>
      </c>
      <c r="AC14" s="81">
        <f t="shared" si="117"/>
        <v>0</v>
      </c>
      <c r="AD14" s="77" t="s">
        <v>8</v>
      </c>
      <c r="AE14" s="31" t="s">
        <v>8</v>
      </c>
      <c r="AF14" s="36">
        <f t="shared" si="118"/>
        <v>0.65016894156684069</v>
      </c>
      <c r="AG14" s="34">
        <f t="shared" si="119"/>
        <v>8.3766382222375424E-2</v>
      </c>
      <c r="AH14" s="54">
        <f t="shared" si="120"/>
        <v>854928.18878498755</v>
      </c>
      <c r="AI14" s="81">
        <f t="shared" si="121"/>
        <v>0</v>
      </c>
      <c r="AJ14" s="77" t="s">
        <v>8</v>
      </c>
      <c r="AK14" s="31" t="s">
        <v>8</v>
      </c>
      <c r="AL14" s="36">
        <f t="shared" si="122"/>
        <v>0.65016894156684069</v>
      </c>
      <c r="AM14" s="34">
        <f t="shared" si="123"/>
        <v>8.3766382222375424E-2</v>
      </c>
      <c r="AN14" s="54">
        <f t="shared" si="124"/>
        <v>854928.18878498755</v>
      </c>
      <c r="AO14" s="81">
        <f t="shared" si="125"/>
        <v>0</v>
      </c>
      <c r="AP14" s="77" t="s">
        <v>8</v>
      </c>
      <c r="AQ14" s="31" t="s">
        <v>8</v>
      </c>
      <c r="AR14" s="36">
        <f t="shared" si="126"/>
        <v>0.65016894156684069</v>
      </c>
      <c r="AS14" s="34">
        <f t="shared" si="127"/>
        <v>8.3766382222375424E-2</v>
      </c>
      <c r="AT14" s="54">
        <f t="shared" si="128"/>
        <v>854928.18878498755</v>
      </c>
      <c r="AU14" s="81">
        <f t="shared" si="129"/>
        <v>0</v>
      </c>
      <c r="AV14" s="77" t="s">
        <v>8</v>
      </c>
      <c r="AW14" s="31" t="s">
        <v>8</v>
      </c>
      <c r="AX14" s="36">
        <f t="shared" si="130"/>
        <v>0.65016894156684069</v>
      </c>
      <c r="AY14" s="34">
        <f t="shared" si="131"/>
        <v>8.3766382222375424E-2</v>
      </c>
      <c r="AZ14" s="54">
        <f t="shared" si="132"/>
        <v>854928.18878498755</v>
      </c>
      <c r="BA14" s="81">
        <f t="shared" si="133"/>
        <v>0</v>
      </c>
      <c r="BB14" s="77" t="s">
        <v>8</v>
      </c>
      <c r="BC14" s="31" t="s">
        <v>8</v>
      </c>
      <c r="BD14" s="36">
        <f t="shared" si="134"/>
        <v>0.65016894156684069</v>
      </c>
      <c r="BE14" s="34">
        <f t="shared" si="135"/>
        <v>8.3766382222375424E-2</v>
      </c>
      <c r="BF14" s="54">
        <f t="shared" si="136"/>
        <v>854928.18878498755</v>
      </c>
      <c r="BG14" s="81">
        <f t="shared" si="137"/>
        <v>0</v>
      </c>
      <c r="BH14" s="77" t="s">
        <v>8</v>
      </c>
      <c r="BI14" s="31" t="s">
        <v>8</v>
      </c>
      <c r="BJ14" s="36">
        <f t="shared" si="138"/>
        <v>0.65016894156684069</v>
      </c>
      <c r="BK14" s="34">
        <f t="shared" si="139"/>
        <v>8.3766382222375424E-2</v>
      </c>
      <c r="BL14" s="54">
        <f t="shared" si="140"/>
        <v>854928.18878498755</v>
      </c>
      <c r="BM14" s="81">
        <f t="shared" si="141"/>
        <v>0</v>
      </c>
      <c r="BN14" s="77" t="s">
        <v>8</v>
      </c>
      <c r="BO14" s="31" t="s">
        <v>8</v>
      </c>
      <c r="BP14" s="36">
        <f t="shared" si="142"/>
        <v>0.65016894156684069</v>
      </c>
      <c r="BQ14" s="34">
        <f t="shared" si="143"/>
        <v>8.3766382222375424E-2</v>
      </c>
      <c r="BR14" s="54">
        <f t="shared" si="144"/>
        <v>854928.18878498755</v>
      </c>
      <c r="BS14" s="128">
        <f t="shared" si="145"/>
        <v>0</v>
      </c>
      <c r="BT14" s="77" t="s">
        <v>8</v>
      </c>
      <c r="BU14" s="31" t="s">
        <v>8</v>
      </c>
      <c r="BV14" s="36">
        <f t="shared" si="146"/>
        <v>0.65016894156684069</v>
      </c>
      <c r="BW14" s="34">
        <f t="shared" si="147"/>
        <v>8.3766382222375424E-2</v>
      </c>
      <c r="BX14" s="54">
        <f t="shared" si="148"/>
        <v>854928.18878498755</v>
      </c>
      <c r="BY14" s="128">
        <f t="shared" si="149"/>
        <v>0</v>
      </c>
      <c r="BZ14" s="77" t="s">
        <v>8</v>
      </c>
      <c r="CA14" s="31" t="s">
        <v>8</v>
      </c>
      <c r="CB14" s="36">
        <f t="shared" si="150"/>
        <v>0.65016894156684069</v>
      </c>
      <c r="CC14" s="34">
        <f t="shared" si="151"/>
        <v>8.3766382222375424E-2</v>
      </c>
      <c r="CD14" s="54">
        <f t="shared" si="152"/>
        <v>854928.18878498755</v>
      </c>
      <c r="CE14" s="128">
        <f t="shared" si="153"/>
        <v>0</v>
      </c>
      <c r="CF14" s="77" t="s">
        <v>8</v>
      </c>
      <c r="CG14" s="31" t="s">
        <v>8</v>
      </c>
      <c r="CH14" s="36">
        <f t="shared" si="154"/>
        <v>0.65016894156684069</v>
      </c>
      <c r="CI14" s="34">
        <f t="shared" si="155"/>
        <v>8.3766382222375424E-2</v>
      </c>
      <c r="CJ14" s="54">
        <f t="shared" si="156"/>
        <v>854928.18878498755</v>
      </c>
      <c r="CK14" s="128">
        <f t="shared" si="157"/>
        <v>0</v>
      </c>
      <c r="CL14" s="77" t="s">
        <v>8</v>
      </c>
      <c r="CM14" s="31" t="s">
        <v>8</v>
      </c>
      <c r="CN14" s="36">
        <f t="shared" si="158"/>
        <v>0.65016894156684069</v>
      </c>
      <c r="CO14" s="34">
        <f t="shared" si="159"/>
        <v>8.3766382222375424E-2</v>
      </c>
      <c r="CP14" s="54">
        <f t="shared" si="160"/>
        <v>854928.18878498755</v>
      </c>
      <c r="CQ14" s="128">
        <f t="shared" si="161"/>
        <v>0</v>
      </c>
      <c r="CR14" s="77" t="s">
        <v>8</v>
      </c>
      <c r="CS14" s="31" t="s">
        <v>8</v>
      </c>
      <c r="CT14" s="36">
        <f t="shared" si="162"/>
        <v>0.65016894156684069</v>
      </c>
      <c r="CU14" s="34">
        <f t="shared" si="163"/>
        <v>8.3766382222375424E-2</v>
      </c>
      <c r="CV14" s="54">
        <f t="shared" si="164"/>
        <v>854928.18878498755</v>
      </c>
      <c r="CW14" s="128">
        <f t="shared" si="165"/>
        <v>0</v>
      </c>
      <c r="CX14" s="77" t="s">
        <v>8</v>
      </c>
      <c r="CY14" s="31" t="s">
        <v>8</v>
      </c>
      <c r="CZ14" s="36">
        <f t="shared" si="166"/>
        <v>0.65016894156684069</v>
      </c>
      <c r="DA14" s="34">
        <f t="shared" si="167"/>
        <v>8.3766382222375424E-2</v>
      </c>
      <c r="DB14" s="54">
        <f t="shared" si="168"/>
        <v>854928.18878498755</v>
      </c>
      <c r="DC14" s="128">
        <f t="shared" si="169"/>
        <v>0</v>
      </c>
      <c r="DD14" s="77" t="s">
        <v>8</v>
      </c>
      <c r="DE14" s="31" t="s">
        <v>8</v>
      </c>
      <c r="DF14" s="36">
        <f t="shared" si="170"/>
        <v>0.65016894156684069</v>
      </c>
      <c r="DG14" s="34">
        <f t="shared" si="171"/>
        <v>8.3766382222375424E-2</v>
      </c>
      <c r="DH14" s="54">
        <f t="shared" si="172"/>
        <v>854928.18878498755</v>
      </c>
      <c r="DI14" s="128">
        <f t="shared" si="173"/>
        <v>0</v>
      </c>
      <c r="DJ14" s="77" t="s">
        <v>8</v>
      </c>
      <c r="DK14" s="31" t="s">
        <v>8</v>
      </c>
      <c r="DL14" s="36">
        <f t="shared" si="174"/>
        <v>0.65016894156684069</v>
      </c>
      <c r="DM14" s="34">
        <f t="shared" si="175"/>
        <v>8.3766382222375424E-2</v>
      </c>
      <c r="DN14" s="54">
        <f t="shared" si="176"/>
        <v>854928.18878498755</v>
      </c>
      <c r="DO14" s="128">
        <f t="shared" si="177"/>
        <v>0</v>
      </c>
      <c r="DP14" s="77" t="s">
        <v>8</v>
      </c>
      <c r="DQ14" s="31" t="s">
        <v>8</v>
      </c>
      <c r="DR14" s="36">
        <f t="shared" si="178"/>
        <v>0.65016894156684069</v>
      </c>
      <c r="DS14" s="34">
        <f t="shared" si="179"/>
        <v>8.3766382222375424E-2</v>
      </c>
      <c r="DT14" s="54">
        <f t="shared" si="180"/>
        <v>854928.18878498755</v>
      </c>
      <c r="DU14" s="128">
        <f t="shared" si="181"/>
        <v>0</v>
      </c>
      <c r="DV14" s="77" t="s">
        <v>8</v>
      </c>
      <c r="DW14" s="31" t="s">
        <v>8</v>
      </c>
      <c r="DX14" s="36">
        <f t="shared" si="182"/>
        <v>0.65016894156684069</v>
      </c>
      <c r="DY14" s="34">
        <f t="shared" si="183"/>
        <v>8.3766382222375424E-2</v>
      </c>
      <c r="DZ14" s="35">
        <f t="shared" si="184"/>
        <v>854928.18878498755</v>
      </c>
      <c r="EA14" s="81">
        <f t="shared" si="185"/>
        <v>0</v>
      </c>
      <c r="EB14" s="77" t="s">
        <v>8</v>
      </c>
      <c r="EC14" s="31" t="s">
        <v>8</v>
      </c>
      <c r="ED14" s="36">
        <f t="shared" si="186"/>
        <v>0.65016894156684069</v>
      </c>
      <c r="EE14" s="34">
        <f t="shared" si="187"/>
        <v>8.3766382222375424E-2</v>
      </c>
      <c r="EF14" s="35">
        <f t="shared" si="188"/>
        <v>854928.18878498755</v>
      </c>
      <c r="EG14" s="81">
        <f t="shared" si="189"/>
        <v>0</v>
      </c>
      <c r="EH14" s="77" t="s">
        <v>8</v>
      </c>
      <c r="EI14" s="31" t="s">
        <v>8</v>
      </c>
      <c r="EJ14" s="36">
        <f t="shared" si="190"/>
        <v>0.65016894156684069</v>
      </c>
      <c r="EK14" s="34">
        <f t="shared" si="191"/>
        <v>8.3766382222375424E-2</v>
      </c>
      <c r="EL14" s="35">
        <f t="shared" si="192"/>
        <v>854928.18878498755</v>
      </c>
      <c r="EM14" s="81">
        <f t="shared" si="193"/>
        <v>0</v>
      </c>
      <c r="EN14" s="77" t="s">
        <v>8</v>
      </c>
      <c r="EO14" s="31" t="s">
        <v>8</v>
      </c>
      <c r="EP14" s="36">
        <f t="shared" si="194"/>
        <v>0.65016894156684069</v>
      </c>
      <c r="EQ14" s="34">
        <f t="shared" si="195"/>
        <v>8.3766382222375424E-2</v>
      </c>
      <c r="ER14" s="35">
        <f t="shared" si="196"/>
        <v>854928.18878498755</v>
      </c>
      <c r="ES14" s="81">
        <f t="shared" si="197"/>
        <v>0</v>
      </c>
      <c r="ET14" s="77" t="s">
        <v>8</v>
      </c>
      <c r="EU14" s="31" t="s">
        <v>8</v>
      </c>
      <c r="EV14" s="36">
        <f t="shared" si="198"/>
        <v>0.65016894156684069</v>
      </c>
      <c r="EW14" s="34">
        <f t="shared" si="199"/>
        <v>8.3766382222375424E-2</v>
      </c>
      <c r="EX14" s="35">
        <f t="shared" si="200"/>
        <v>854928.18878498755</v>
      </c>
      <c r="EY14" s="81">
        <f t="shared" si="201"/>
        <v>0</v>
      </c>
      <c r="EZ14" s="77" t="s">
        <v>8</v>
      </c>
      <c r="FA14" s="31" t="s">
        <v>8</v>
      </c>
      <c r="FB14" s="36">
        <f t="shared" si="202"/>
        <v>0.65016894156684069</v>
      </c>
      <c r="FC14" s="34">
        <f t="shared" si="203"/>
        <v>8.3766382222375424E-2</v>
      </c>
      <c r="FD14" s="35">
        <f t="shared" si="204"/>
        <v>854928.18878498755</v>
      </c>
      <c r="FE14" s="81">
        <f t="shared" si="205"/>
        <v>0</v>
      </c>
      <c r="FF14" s="77" t="s">
        <v>8</v>
      </c>
      <c r="FG14" s="31" t="s">
        <v>8</v>
      </c>
      <c r="FH14" s="36">
        <f t="shared" si="206"/>
        <v>0.65016894156684069</v>
      </c>
      <c r="FI14" s="34">
        <f t="shared" si="207"/>
        <v>8.3766382222375424E-2</v>
      </c>
      <c r="FJ14" s="35">
        <f t="shared" si="208"/>
        <v>854928.18878498755</v>
      </c>
      <c r="FK14" s="81">
        <f t="shared" si="209"/>
        <v>0</v>
      </c>
      <c r="FL14" s="77" t="s">
        <v>8</v>
      </c>
      <c r="FM14" s="31" t="s">
        <v>8</v>
      </c>
      <c r="FN14" s="36">
        <f t="shared" si="210"/>
        <v>0.65016894156684069</v>
      </c>
      <c r="FO14" s="34">
        <f t="shared" si="211"/>
        <v>8.3766382222375424E-2</v>
      </c>
      <c r="FP14" s="35">
        <f t="shared" si="212"/>
        <v>854928.18878498755</v>
      </c>
      <c r="FQ14" s="81">
        <f t="shared" si="213"/>
        <v>0</v>
      </c>
      <c r="FR14" s="77" t="s">
        <v>8</v>
      </c>
      <c r="FS14" s="31" t="s">
        <v>8</v>
      </c>
      <c r="FT14" s="36">
        <f t="shared" si="214"/>
        <v>0.65016894156684069</v>
      </c>
      <c r="FU14" s="34">
        <f t="shared" si="215"/>
        <v>8.3766382222375424E-2</v>
      </c>
      <c r="FV14" s="35">
        <f t="shared" si="216"/>
        <v>854928.18878498755</v>
      </c>
      <c r="FW14" s="81">
        <f t="shared" si="217"/>
        <v>0</v>
      </c>
      <c r="FX14" s="77" t="s">
        <v>8</v>
      </c>
      <c r="FY14" s="31" t="s">
        <v>8</v>
      </c>
      <c r="FZ14" s="36">
        <f t="shared" si="218"/>
        <v>0.65016894156684069</v>
      </c>
      <c r="GA14" s="34">
        <f t="shared" si="219"/>
        <v>8.3766382222375424E-2</v>
      </c>
      <c r="GB14" s="35">
        <f t="shared" si="220"/>
        <v>854928.18878498755</v>
      </c>
      <c r="GC14" s="81">
        <f t="shared" si="221"/>
        <v>0</v>
      </c>
      <c r="GD14" s="77" t="s">
        <v>8</v>
      </c>
      <c r="GE14" s="31" t="s">
        <v>8</v>
      </c>
      <c r="GF14" s="36">
        <f t="shared" si="222"/>
        <v>0.65016894156684069</v>
      </c>
      <c r="GG14" s="34">
        <f t="shared" si="223"/>
        <v>8.3766382222375424E-2</v>
      </c>
      <c r="GH14" s="35">
        <f t="shared" si="224"/>
        <v>854928.18878498755</v>
      </c>
      <c r="GI14" s="128">
        <f t="shared" si="225"/>
        <v>0</v>
      </c>
      <c r="GJ14" s="161">
        <f t="shared" si="228"/>
        <v>1476758.454069569</v>
      </c>
      <c r="GK14" s="100">
        <f t="shared" si="226"/>
        <v>1937682.405293871</v>
      </c>
      <c r="GL14" s="87">
        <f t="shared" si="227"/>
        <v>0.6501689415668408</v>
      </c>
    </row>
    <row r="15" spans="1:194" s="26" customFormat="1" ht="16.5" thickBot="1">
      <c r="A15" s="148" t="str">
        <f>'Исходные данные 2026'!B17</f>
        <v>Чередовское сельское поселение</v>
      </c>
      <c r="B15" s="150" t="s">
        <v>8</v>
      </c>
      <c r="C15" s="150" t="s">
        <v>8</v>
      </c>
      <c r="D15" s="150" t="s">
        <v>8</v>
      </c>
      <c r="E15" s="150" t="s">
        <v>8</v>
      </c>
      <c r="F15" s="150" t="s">
        <v>8</v>
      </c>
      <c r="G15" s="109">
        <f>'Исходные данные 2026'!C17</f>
        <v>304</v>
      </c>
      <c r="H15" s="32">
        <f>'Исходные данные 2026'!D17</f>
        <v>503381</v>
      </c>
      <c r="I15" s="33">
        <f>'Расчет КРП'!F13</f>
        <v>8.5441086401021664</v>
      </c>
      <c r="J15" s="116" t="s">
        <v>8</v>
      </c>
      <c r="K15" s="120">
        <f t="shared" si="104"/>
        <v>0.21571146220185913</v>
      </c>
      <c r="L15" s="78">
        <f t="shared" si="105"/>
        <v>236690.67765572263</v>
      </c>
      <c r="M15" s="74">
        <f t="shared" si="106"/>
        <v>0.31713939088145732</v>
      </c>
      <c r="N15" s="31" t="s">
        <v>8</v>
      </c>
      <c r="O15" s="34">
        <f t="shared" si="107"/>
        <v>8.6604687222280985E-2</v>
      </c>
      <c r="P15" s="35">
        <f t="shared" si="108"/>
        <v>377240.98581648117</v>
      </c>
      <c r="Q15" s="81">
        <f t="shared" si="109"/>
        <v>377240.98581648117</v>
      </c>
      <c r="R15" s="154" t="s">
        <v>8</v>
      </c>
      <c r="S15" s="31" t="s">
        <v>8</v>
      </c>
      <c r="T15" s="36">
        <f t="shared" si="110"/>
        <v>0.47879667364132306</v>
      </c>
      <c r="U15" s="34">
        <f t="shared" si="111"/>
        <v>0.13033470440259132</v>
      </c>
      <c r="V15" s="54">
        <f t="shared" si="112"/>
        <v>778097.16966649238</v>
      </c>
      <c r="W15" s="81">
        <f t="shared" si="113"/>
        <v>589508.14745694026</v>
      </c>
      <c r="X15" s="77" t="s">
        <v>8</v>
      </c>
      <c r="Y15" s="31" t="s">
        <v>8</v>
      </c>
      <c r="Z15" s="36">
        <f t="shared" si="114"/>
        <v>0.73141579209801044</v>
      </c>
      <c r="AA15" s="34">
        <f t="shared" si="115"/>
        <v>2.5195316912056676E-3</v>
      </c>
      <c r="AB15" s="54">
        <f t="shared" si="116"/>
        <v>17592.819858291601</v>
      </c>
      <c r="AC15" s="81">
        <f t="shared" si="117"/>
        <v>0</v>
      </c>
      <c r="AD15" s="77" t="s">
        <v>8</v>
      </c>
      <c r="AE15" s="31" t="s">
        <v>8</v>
      </c>
      <c r="AF15" s="36">
        <f t="shared" si="118"/>
        <v>0.73141579209801044</v>
      </c>
      <c r="AG15" s="34">
        <f t="shared" si="119"/>
        <v>2.5195316912056676E-3</v>
      </c>
      <c r="AH15" s="54">
        <f t="shared" si="120"/>
        <v>17592.819858291601</v>
      </c>
      <c r="AI15" s="81">
        <f t="shared" si="121"/>
        <v>0</v>
      </c>
      <c r="AJ15" s="77" t="s">
        <v>8</v>
      </c>
      <c r="AK15" s="31" t="s">
        <v>8</v>
      </c>
      <c r="AL15" s="36">
        <f t="shared" si="122"/>
        <v>0.73141579209801044</v>
      </c>
      <c r="AM15" s="34">
        <f t="shared" si="123"/>
        <v>2.5195316912056676E-3</v>
      </c>
      <c r="AN15" s="54">
        <f t="shared" si="124"/>
        <v>17592.819858291601</v>
      </c>
      <c r="AO15" s="81">
        <f t="shared" si="125"/>
        <v>0</v>
      </c>
      <c r="AP15" s="77" t="s">
        <v>8</v>
      </c>
      <c r="AQ15" s="31" t="s">
        <v>8</v>
      </c>
      <c r="AR15" s="36">
        <f t="shared" si="126"/>
        <v>0.73141579209801044</v>
      </c>
      <c r="AS15" s="34">
        <f t="shared" si="127"/>
        <v>2.5195316912056676E-3</v>
      </c>
      <c r="AT15" s="54">
        <f t="shared" si="128"/>
        <v>17592.819858291601</v>
      </c>
      <c r="AU15" s="81">
        <f t="shared" si="129"/>
        <v>0</v>
      </c>
      <c r="AV15" s="77" t="s">
        <v>8</v>
      </c>
      <c r="AW15" s="31" t="s">
        <v>8</v>
      </c>
      <c r="AX15" s="36">
        <f t="shared" si="130"/>
        <v>0.73141579209801044</v>
      </c>
      <c r="AY15" s="34">
        <f t="shared" si="131"/>
        <v>2.5195316912056676E-3</v>
      </c>
      <c r="AZ15" s="54">
        <f t="shared" si="132"/>
        <v>17592.819858291601</v>
      </c>
      <c r="BA15" s="81">
        <f t="shared" si="133"/>
        <v>0</v>
      </c>
      <c r="BB15" s="77" t="s">
        <v>8</v>
      </c>
      <c r="BC15" s="31" t="s">
        <v>8</v>
      </c>
      <c r="BD15" s="36">
        <f t="shared" si="134"/>
        <v>0.73141579209801044</v>
      </c>
      <c r="BE15" s="34">
        <f t="shared" si="135"/>
        <v>2.5195316912056676E-3</v>
      </c>
      <c r="BF15" s="54">
        <f t="shared" si="136"/>
        <v>17592.819858291601</v>
      </c>
      <c r="BG15" s="81">
        <f t="shared" si="137"/>
        <v>0</v>
      </c>
      <c r="BH15" s="77" t="s">
        <v>8</v>
      </c>
      <c r="BI15" s="31" t="s">
        <v>8</v>
      </c>
      <c r="BJ15" s="36">
        <f t="shared" si="138"/>
        <v>0.73141579209801044</v>
      </c>
      <c r="BK15" s="34">
        <f t="shared" si="139"/>
        <v>2.5195316912056676E-3</v>
      </c>
      <c r="BL15" s="54">
        <f t="shared" si="140"/>
        <v>17592.819858291601</v>
      </c>
      <c r="BM15" s="81">
        <f t="shared" si="141"/>
        <v>0</v>
      </c>
      <c r="BN15" s="77" t="s">
        <v>8</v>
      </c>
      <c r="BO15" s="31" t="s">
        <v>8</v>
      </c>
      <c r="BP15" s="36">
        <f t="shared" si="142"/>
        <v>0.73141579209801044</v>
      </c>
      <c r="BQ15" s="34">
        <f t="shared" si="143"/>
        <v>2.5195316912056676E-3</v>
      </c>
      <c r="BR15" s="54">
        <f t="shared" si="144"/>
        <v>17592.819858291601</v>
      </c>
      <c r="BS15" s="128">
        <f t="shared" si="145"/>
        <v>0</v>
      </c>
      <c r="BT15" s="77" t="s">
        <v>8</v>
      </c>
      <c r="BU15" s="31" t="s">
        <v>8</v>
      </c>
      <c r="BV15" s="36">
        <f t="shared" si="146"/>
        <v>0.73141579209801044</v>
      </c>
      <c r="BW15" s="34">
        <f t="shared" si="147"/>
        <v>2.5195316912056676E-3</v>
      </c>
      <c r="BX15" s="54">
        <f t="shared" si="148"/>
        <v>17592.819858291601</v>
      </c>
      <c r="BY15" s="128">
        <f t="shared" si="149"/>
        <v>0</v>
      </c>
      <c r="BZ15" s="77" t="s">
        <v>8</v>
      </c>
      <c r="CA15" s="31" t="s">
        <v>8</v>
      </c>
      <c r="CB15" s="36">
        <f t="shared" si="150"/>
        <v>0.73141579209801044</v>
      </c>
      <c r="CC15" s="34">
        <f t="shared" si="151"/>
        <v>2.5195316912056676E-3</v>
      </c>
      <c r="CD15" s="54">
        <f t="shared" si="152"/>
        <v>17592.819858291601</v>
      </c>
      <c r="CE15" s="128">
        <f t="shared" si="153"/>
        <v>0</v>
      </c>
      <c r="CF15" s="77" t="s">
        <v>8</v>
      </c>
      <c r="CG15" s="31" t="s">
        <v>8</v>
      </c>
      <c r="CH15" s="36">
        <f t="shared" si="154"/>
        <v>0.73141579209801044</v>
      </c>
      <c r="CI15" s="34">
        <f t="shared" si="155"/>
        <v>2.5195316912056676E-3</v>
      </c>
      <c r="CJ15" s="54">
        <f t="shared" si="156"/>
        <v>17592.819858291601</v>
      </c>
      <c r="CK15" s="128">
        <f t="shared" si="157"/>
        <v>0</v>
      </c>
      <c r="CL15" s="77" t="s">
        <v>8</v>
      </c>
      <c r="CM15" s="31" t="s">
        <v>8</v>
      </c>
      <c r="CN15" s="36">
        <f t="shared" si="158"/>
        <v>0.73141579209801044</v>
      </c>
      <c r="CO15" s="34">
        <f t="shared" si="159"/>
        <v>2.5195316912056676E-3</v>
      </c>
      <c r="CP15" s="54">
        <f t="shared" si="160"/>
        <v>17592.819858291601</v>
      </c>
      <c r="CQ15" s="128">
        <f t="shared" si="161"/>
        <v>0</v>
      </c>
      <c r="CR15" s="77" t="s">
        <v>8</v>
      </c>
      <c r="CS15" s="31" t="s">
        <v>8</v>
      </c>
      <c r="CT15" s="36">
        <f t="shared" si="162"/>
        <v>0.73141579209801044</v>
      </c>
      <c r="CU15" s="34">
        <f t="shared" si="163"/>
        <v>2.5195316912056676E-3</v>
      </c>
      <c r="CV15" s="54">
        <f t="shared" si="164"/>
        <v>17592.819858291601</v>
      </c>
      <c r="CW15" s="128">
        <f t="shared" si="165"/>
        <v>0</v>
      </c>
      <c r="CX15" s="77" t="s">
        <v>8</v>
      </c>
      <c r="CY15" s="31" t="s">
        <v>8</v>
      </c>
      <c r="CZ15" s="36">
        <f t="shared" si="166"/>
        <v>0.73141579209801044</v>
      </c>
      <c r="DA15" s="34">
        <f t="shared" si="167"/>
        <v>2.5195316912056676E-3</v>
      </c>
      <c r="DB15" s="54">
        <f t="shared" si="168"/>
        <v>17592.819858291601</v>
      </c>
      <c r="DC15" s="128">
        <f t="shared" si="169"/>
        <v>0</v>
      </c>
      <c r="DD15" s="77" t="s">
        <v>8</v>
      </c>
      <c r="DE15" s="31" t="s">
        <v>8</v>
      </c>
      <c r="DF15" s="36">
        <f t="shared" si="170"/>
        <v>0.73141579209801044</v>
      </c>
      <c r="DG15" s="34">
        <f t="shared" si="171"/>
        <v>2.5195316912056676E-3</v>
      </c>
      <c r="DH15" s="54">
        <f t="shared" si="172"/>
        <v>17592.819858291601</v>
      </c>
      <c r="DI15" s="128">
        <f t="shared" si="173"/>
        <v>0</v>
      </c>
      <c r="DJ15" s="77" t="s">
        <v>8</v>
      </c>
      <c r="DK15" s="31" t="s">
        <v>8</v>
      </c>
      <c r="DL15" s="36">
        <f t="shared" si="174"/>
        <v>0.73141579209801044</v>
      </c>
      <c r="DM15" s="34">
        <f t="shared" si="175"/>
        <v>2.5195316912056676E-3</v>
      </c>
      <c r="DN15" s="54">
        <f t="shared" si="176"/>
        <v>17592.819858291601</v>
      </c>
      <c r="DO15" s="128">
        <f t="shared" si="177"/>
        <v>0</v>
      </c>
      <c r="DP15" s="77" t="s">
        <v>8</v>
      </c>
      <c r="DQ15" s="31" t="s">
        <v>8</v>
      </c>
      <c r="DR15" s="36">
        <f t="shared" si="178"/>
        <v>0.73141579209801044</v>
      </c>
      <c r="DS15" s="34">
        <f t="shared" si="179"/>
        <v>2.5195316912056676E-3</v>
      </c>
      <c r="DT15" s="54">
        <f t="shared" si="180"/>
        <v>17592.819858291601</v>
      </c>
      <c r="DU15" s="128">
        <f t="shared" si="181"/>
        <v>0</v>
      </c>
      <c r="DV15" s="77" t="s">
        <v>8</v>
      </c>
      <c r="DW15" s="31" t="s">
        <v>8</v>
      </c>
      <c r="DX15" s="36">
        <f t="shared" si="182"/>
        <v>0.73141579209801044</v>
      </c>
      <c r="DY15" s="34">
        <f t="shared" si="183"/>
        <v>2.5195316912056676E-3</v>
      </c>
      <c r="DZ15" s="35">
        <f t="shared" si="184"/>
        <v>17592.819858291601</v>
      </c>
      <c r="EA15" s="81">
        <f t="shared" si="185"/>
        <v>0</v>
      </c>
      <c r="EB15" s="77" t="s">
        <v>8</v>
      </c>
      <c r="EC15" s="31" t="s">
        <v>8</v>
      </c>
      <c r="ED15" s="36">
        <f t="shared" si="186"/>
        <v>0.73141579209801044</v>
      </c>
      <c r="EE15" s="34">
        <f t="shared" si="187"/>
        <v>2.5195316912056676E-3</v>
      </c>
      <c r="EF15" s="35">
        <f t="shared" si="188"/>
        <v>17592.819858291601</v>
      </c>
      <c r="EG15" s="81">
        <f t="shared" si="189"/>
        <v>0</v>
      </c>
      <c r="EH15" s="77" t="s">
        <v>8</v>
      </c>
      <c r="EI15" s="31" t="s">
        <v>8</v>
      </c>
      <c r="EJ15" s="36">
        <f t="shared" si="190"/>
        <v>0.73141579209801044</v>
      </c>
      <c r="EK15" s="34">
        <f t="shared" si="191"/>
        <v>2.5195316912056676E-3</v>
      </c>
      <c r="EL15" s="35">
        <f t="shared" si="192"/>
        <v>17592.819858291601</v>
      </c>
      <c r="EM15" s="81">
        <f t="shared" si="193"/>
        <v>0</v>
      </c>
      <c r="EN15" s="77" t="s">
        <v>8</v>
      </c>
      <c r="EO15" s="31" t="s">
        <v>8</v>
      </c>
      <c r="EP15" s="36">
        <f t="shared" si="194"/>
        <v>0.73141579209801044</v>
      </c>
      <c r="EQ15" s="34">
        <f t="shared" si="195"/>
        <v>2.5195316912056676E-3</v>
      </c>
      <c r="ER15" s="35">
        <f t="shared" si="196"/>
        <v>17592.819858291601</v>
      </c>
      <c r="ES15" s="81">
        <f t="shared" si="197"/>
        <v>0</v>
      </c>
      <c r="ET15" s="77" t="s">
        <v>8</v>
      </c>
      <c r="EU15" s="31" t="s">
        <v>8</v>
      </c>
      <c r="EV15" s="36">
        <f t="shared" si="198"/>
        <v>0.73141579209801044</v>
      </c>
      <c r="EW15" s="34">
        <f t="shared" si="199"/>
        <v>2.5195316912056676E-3</v>
      </c>
      <c r="EX15" s="35">
        <f t="shared" si="200"/>
        <v>17592.819858291601</v>
      </c>
      <c r="EY15" s="81">
        <f t="shared" si="201"/>
        <v>0</v>
      </c>
      <c r="EZ15" s="77" t="s">
        <v>8</v>
      </c>
      <c r="FA15" s="31" t="s">
        <v>8</v>
      </c>
      <c r="FB15" s="36">
        <f t="shared" si="202"/>
        <v>0.73141579209801044</v>
      </c>
      <c r="FC15" s="34">
        <f t="shared" si="203"/>
        <v>2.5195316912056676E-3</v>
      </c>
      <c r="FD15" s="35">
        <f t="shared" si="204"/>
        <v>17592.819858291601</v>
      </c>
      <c r="FE15" s="81">
        <f t="shared" si="205"/>
        <v>0</v>
      </c>
      <c r="FF15" s="77" t="s">
        <v>8</v>
      </c>
      <c r="FG15" s="31" t="s">
        <v>8</v>
      </c>
      <c r="FH15" s="36">
        <f t="shared" si="206"/>
        <v>0.73141579209801044</v>
      </c>
      <c r="FI15" s="34">
        <f t="shared" si="207"/>
        <v>2.5195316912056676E-3</v>
      </c>
      <c r="FJ15" s="35">
        <f t="shared" si="208"/>
        <v>17592.819858291601</v>
      </c>
      <c r="FK15" s="81">
        <f t="shared" si="209"/>
        <v>0</v>
      </c>
      <c r="FL15" s="77" t="s">
        <v>8</v>
      </c>
      <c r="FM15" s="31" t="s">
        <v>8</v>
      </c>
      <c r="FN15" s="36">
        <f t="shared" si="210"/>
        <v>0.73141579209801044</v>
      </c>
      <c r="FO15" s="34">
        <f t="shared" si="211"/>
        <v>2.5195316912056676E-3</v>
      </c>
      <c r="FP15" s="35">
        <f t="shared" si="212"/>
        <v>17592.819858291601</v>
      </c>
      <c r="FQ15" s="81">
        <f t="shared" si="213"/>
        <v>0</v>
      </c>
      <c r="FR15" s="77" t="s">
        <v>8</v>
      </c>
      <c r="FS15" s="31" t="s">
        <v>8</v>
      </c>
      <c r="FT15" s="36">
        <f t="shared" si="214"/>
        <v>0.73141579209801044</v>
      </c>
      <c r="FU15" s="34">
        <f t="shared" si="215"/>
        <v>2.5195316912056676E-3</v>
      </c>
      <c r="FV15" s="35">
        <f t="shared" si="216"/>
        <v>17592.819858291601</v>
      </c>
      <c r="FW15" s="81">
        <f t="shared" si="217"/>
        <v>0</v>
      </c>
      <c r="FX15" s="77" t="s">
        <v>8</v>
      </c>
      <c r="FY15" s="31" t="s">
        <v>8</v>
      </c>
      <c r="FZ15" s="36">
        <f t="shared" si="218"/>
        <v>0.73141579209801044</v>
      </c>
      <c r="GA15" s="34">
        <f t="shared" si="219"/>
        <v>2.5195316912056676E-3</v>
      </c>
      <c r="GB15" s="35">
        <f t="shared" si="220"/>
        <v>17592.819858291601</v>
      </c>
      <c r="GC15" s="81">
        <f t="shared" si="221"/>
        <v>0</v>
      </c>
      <c r="GD15" s="77" t="s">
        <v>8</v>
      </c>
      <c r="GE15" s="31" t="s">
        <v>8</v>
      </c>
      <c r="GF15" s="36">
        <f t="shared" si="222"/>
        <v>0.73141579209801044</v>
      </c>
      <c r="GG15" s="34">
        <f t="shared" si="223"/>
        <v>2.5195316912056676E-3</v>
      </c>
      <c r="GH15" s="35">
        <f t="shared" si="224"/>
        <v>17592.819858291601</v>
      </c>
      <c r="GI15" s="128">
        <f t="shared" si="225"/>
        <v>0</v>
      </c>
      <c r="GJ15" s="161">
        <f t="shared" si="228"/>
        <v>966749.13327342144</v>
      </c>
      <c r="GK15" s="100">
        <f t="shared" si="226"/>
        <v>1203439.810929144</v>
      </c>
      <c r="GL15" s="87">
        <f t="shared" si="227"/>
        <v>0.73141579209801033</v>
      </c>
    </row>
    <row r="16" spans="1:194" s="26" customFormat="1" ht="16.5" thickBot="1">
      <c r="A16" s="148" t="str">
        <f>'Исходные данные 2026'!B18</f>
        <v>Шуховское сельское поселение</v>
      </c>
      <c r="B16" s="150" t="s">
        <v>8</v>
      </c>
      <c r="C16" s="150" t="s">
        <v>8</v>
      </c>
      <c r="D16" s="150" t="s">
        <v>8</v>
      </c>
      <c r="E16" s="150" t="s">
        <v>8</v>
      </c>
      <c r="F16" s="150" t="s">
        <v>8</v>
      </c>
      <c r="G16" s="109">
        <f>'Исходные данные 2026'!C18</f>
        <v>737</v>
      </c>
      <c r="H16" s="32">
        <f>'Исходные данные 2026'!D18</f>
        <v>609371</v>
      </c>
      <c r="I16" s="33">
        <f>'Расчет КРП'!F14</f>
        <v>5.5367017072896108</v>
      </c>
      <c r="J16" s="116" t="s">
        <v>8</v>
      </c>
      <c r="K16" s="120">
        <f t="shared" si="104"/>
        <v>0.16621871368681107</v>
      </c>
      <c r="L16" s="78">
        <f t="shared" si="105"/>
        <v>573819.17576403811</v>
      </c>
      <c r="M16" s="74">
        <f t="shared" si="106"/>
        <v>0.32273992208748098</v>
      </c>
      <c r="N16" s="31" t="s">
        <v>8</v>
      </c>
      <c r="O16" s="34">
        <f t="shared" si="107"/>
        <v>8.1004156016257323E-2</v>
      </c>
      <c r="P16" s="35">
        <f t="shared" si="108"/>
        <v>554323.18499857036</v>
      </c>
      <c r="Q16" s="81">
        <f t="shared" si="109"/>
        <v>554323.18499857036</v>
      </c>
      <c r="R16" s="154" t="s">
        <v>8</v>
      </c>
      <c r="S16" s="31" t="s">
        <v>8</v>
      </c>
      <c r="T16" s="36">
        <f t="shared" si="110"/>
        <v>0.47394319033824867</v>
      </c>
      <c r="U16" s="34">
        <f t="shared" si="111"/>
        <v>0.13518818770566571</v>
      </c>
      <c r="V16" s="54">
        <f t="shared" si="112"/>
        <v>1267916.866238843</v>
      </c>
      <c r="W16" s="81">
        <f t="shared" si="113"/>
        <v>960609.22990664525</v>
      </c>
      <c r="X16" s="77" t="s">
        <v>8</v>
      </c>
      <c r="Y16" s="31" t="s">
        <v>8</v>
      </c>
      <c r="Z16" s="36">
        <f t="shared" si="114"/>
        <v>0.73596949377369392</v>
      </c>
      <c r="AA16" s="34">
        <f t="shared" si="115"/>
        <v>-2.0341699844778072E-3</v>
      </c>
      <c r="AB16" s="54">
        <f t="shared" si="116"/>
        <v>0</v>
      </c>
      <c r="AC16" s="81">
        <f t="shared" si="117"/>
        <v>0</v>
      </c>
      <c r="AD16" s="77" t="s">
        <v>8</v>
      </c>
      <c r="AE16" s="31" t="s">
        <v>8</v>
      </c>
      <c r="AF16" s="36">
        <f t="shared" si="118"/>
        <v>0.73596949377369392</v>
      </c>
      <c r="AG16" s="34">
        <f t="shared" si="119"/>
        <v>-2.0341699844778072E-3</v>
      </c>
      <c r="AH16" s="54">
        <f t="shared" si="120"/>
        <v>0</v>
      </c>
      <c r="AI16" s="81">
        <f t="shared" si="121"/>
        <v>0</v>
      </c>
      <c r="AJ16" s="77" t="s">
        <v>8</v>
      </c>
      <c r="AK16" s="31" t="s">
        <v>8</v>
      </c>
      <c r="AL16" s="36">
        <f t="shared" si="122"/>
        <v>0.73596949377369392</v>
      </c>
      <c r="AM16" s="34">
        <f t="shared" si="123"/>
        <v>-2.0341699844778072E-3</v>
      </c>
      <c r="AN16" s="54">
        <f t="shared" si="124"/>
        <v>0</v>
      </c>
      <c r="AO16" s="81">
        <f t="shared" si="125"/>
        <v>0</v>
      </c>
      <c r="AP16" s="77" t="s">
        <v>8</v>
      </c>
      <c r="AQ16" s="31" t="s">
        <v>8</v>
      </c>
      <c r="AR16" s="36">
        <f t="shared" si="126"/>
        <v>0.73596949377369392</v>
      </c>
      <c r="AS16" s="34">
        <f t="shared" si="127"/>
        <v>-2.0341699844778072E-3</v>
      </c>
      <c r="AT16" s="54">
        <f t="shared" si="128"/>
        <v>0</v>
      </c>
      <c r="AU16" s="81">
        <f t="shared" si="129"/>
        <v>0</v>
      </c>
      <c r="AV16" s="77" t="s">
        <v>8</v>
      </c>
      <c r="AW16" s="31" t="s">
        <v>8</v>
      </c>
      <c r="AX16" s="36">
        <f t="shared" si="130"/>
        <v>0.73596949377369392</v>
      </c>
      <c r="AY16" s="34">
        <f t="shared" si="131"/>
        <v>-2.0341699844778072E-3</v>
      </c>
      <c r="AZ16" s="54">
        <f t="shared" si="132"/>
        <v>0</v>
      </c>
      <c r="BA16" s="81">
        <f t="shared" si="133"/>
        <v>0</v>
      </c>
      <c r="BB16" s="77" t="s">
        <v>8</v>
      </c>
      <c r="BC16" s="31" t="s">
        <v>8</v>
      </c>
      <c r="BD16" s="36">
        <f t="shared" si="134"/>
        <v>0.73596949377369392</v>
      </c>
      <c r="BE16" s="34">
        <f t="shared" si="135"/>
        <v>-2.0341699844778072E-3</v>
      </c>
      <c r="BF16" s="54">
        <f t="shared" si="136"/>
        <v>0</v>
      </c>
      <c r="BG16" s="81">
        <f t="shared" si="137"/>
        <v>0</v>
      </c>
      <c r="BH16" s="77" t="s">
        <v>8</v>
      </c>
      <c r="BI16" s="31" t="s">
        <v>8</v>
      </c>
      <c r="BJ16" s="36">
        <f t="shared" si="138"/>
        <v>0.73596949377369392</v>
      </c>
      <c r="BK16" s="34">
        <f t="shared" si="139"/>
        <v>-2.0341699844778072E-3</v>
      </c>
      <c r="BL16" s="54">
        <f t="shared" si="140"/>
        <v>0</v>
      </c>
      <c r="BM16" s="81">
        <f t="shared" si="141"/>
        <v>0</v>
      </c>
      <c r="BN16" s="77" t="s">
        <v>8</v>
      </c>
      <c r="BO16" s="31" t="s">
        <v>8</v>
      </c>
      <c r="BP16" s="36">
        <f t="shared" si="142"/>
        <v>0.73596949377369392</v>
      </c>
      <c r="BQ16" s="34">
        <f t="shared" si="143"/>
        <v>-2.0341699844778072E-3</v>
      </c>
      <c r="BR16" s="54">
        <f t="shared" si="144"/>
        <v>0</v>
      </c>
      <c r="BS16" s="128">
        <f t="shared" si="145"/>
        <v>0</v>
      </c>
      <c r="BT16" s="77" t="s">
        <v>8</v>
      </c>
      <c r="BU16" s="31" t="s">
        <v>8</v>
      </c>
      <c r="BV16" s="36">
        <f t="shared" si="146"/>
        <v>0.73596949377369392</v>
      </c>
      <c r="BW16" s="34">
        <f t="shared" si="147"/>
        <v>-2.0341699844778072E-3</v>
      </c>
      <c r="BX16" s="54">
        <f t="shared" si="148"/>
        <v>0</v>
      </c>
      <c r="BY16" s="128">
        <f t="shared" si="149"/>
        <v>0</v>
      </c>
      <c r="BZ16" s="77" t="s">
        <v>8</v>
      </c>
      <c r="CA16" s="31" t="s">
        <v>8</v>
      </c>
      <c r="CB16" s="36">
        <f t="shared" si="150"/>
        <v>0.73596949377369392</v>
      </c>
      <c r="CC16" s="34">
        <f t="shared" si="151"/>
        <v>-2.0341699844778072E-3</v>
      </c>
      <c r="CD16" s="54">
        <f t="shared" si="152"/>
        <v>0</v>
      </c>
      <c r="CE16" s="128">
        <f t="shared" si="153"/>
        <v>0</v>
      </c>
      <c r="CF16" s="77" t="s">
        <v>8</v>
      </c>
      <c r="CG16" s="31" t="s">
        <v>8</v>
      </c>
      <c r="CH16" s="36">
        <f t="shared" si="154"/>
        <v>0.73596949377369392</v>
      </c>
      <c r="CI16" s="34">
        <f t="shared" si="155"/>
        <v>-2.0341699844778072E-3</v>
      </c>
      <c r="CJ16" s="54">
        <f t="shared" si="156"/>
        <v>0</v>
      </c>
      <c r="CK16" s="128">
        <f t="shared" si="157"/>
        <v>0</v>
      </c>
      <c r="CL16" s="77" t="s">
        <v>8</v>
      </c>
      <c r="CM16" s="31" t="s">
        <v>8</v>
      </c>
      <c r="CN16" s="36">
        <f t="shared" si="158"/>
        <v>0.73596949377369392</v>
      </c>
      <c r="CO16" s="34">
        <f t="shared" si="159"/>
        <v>-2.0341699844778072E-3</v>
      </c>
      <c r="CP16" s="54">
        <f t="shared" si="160"/>
        <v>0</v>
      </c>
      <c r="CQ16" s="128">
        <f t="shared" si="161"/>
        <v>0</v>
      </c>
      <c r="CR16" s="77" t="s">
        <v>8</v>
      </c>
      <c r="CS16" s="31" t="s">
        <v>8</v>
      </c>
      <c r="CT16" s="36">
        <f t="shared" si="162"/>
        <v>0.73596949377369392</v>
      </c>
      <c r="CU16" s="34">
        <f t="shared" si="163"/>
        <v>-2.0341699844778072E-3</v>
      </c>
      <c r="CV16" s="54">
        <f t="shared" si="164"/>
        <v>0</v>
      </c>
      <c r="CW16" s="128">
        <f t="shared" si="165"/>
        <v>0</v>
      </c>
      <c r="CX16" s="77" t="s">
        <v>8</v>
      </c>
      <c r="CY16" s="31" t="s">
        <v>8</v>
      </c>
      <c r="CZ16" s="36">
        <f t="shared" si="166"/>
        <v>0.73596949377369392</v>
      </c>
      <c r="DA16" s="34">
        <f t="shared" si="167"/>
        <v>-2.0341699844778072E-3</v>
      </c>
      <c r="DB16" s="54">
        <f t="shared" si="168"/>
        <v>0</v>
      </c>
      <c r="DC16" s="128">
        <f t="shared" si="169"/>
        <v>0</v>
      </c>
      <c r="DD16" s="77" t="s">
        <v>8</v>
      </c>
      <c r="DE16" s="31" t="s">
        <v>8</v>
      </c>
      <c r="DF16" s="36">
        <f t="shared" si="170"/>
        <v>0.73596949377369392</v>
      </c>
      <c r="DG16" s="34">
        <f t="shared" si="171"/>
        <v>-2.0341699844778072E-3</v>
      </c>
      <c r="DH16" s="54">
        <f t="shared" si="172"/>
        <v>0</v>
      </c>
      <c r="DI16" s="128">
        <f t="shared" si="173"/>
        <v>0</v>
      </c>
      <c r="DJ16" s="77" t="s">
        <v>8</v>
      </c>
      <c r="DK16" s="31" t="s">
        <v>8</v>
      </c>
      <c r="DL16" s="36">
        <f t="shared" si="174"/>
        <v>0.73596949377369392</v>
      </c>
      <c r="DM16" s="34">
        <f t="shared" si="175"/>
        <v>-2.0341699844778072E-3</v>
      </c>
      <c r="DN16" s="54">
        <f t="shared" si="176"/>
        <v>0</v>
      </c>
      <c r="DO16" s="128">
        <f t="shared" si="177"/>
        <v>0</v>
      </c>
      <c r="DP16" s="77" t="s">
        <v>8</v>
      </c>
      <c r="DQ16" s="31" t="s">
        <v>8</v>
      </c>
      <c r="DR16" s="36">
        <f t="shared" si="178"/>
        <v>0.73596949377369392</v>
      </c>
      <c r="DS16" s="34">
        <f t="shared" si="179"/>
        <v>-2.0341699844778072E-3</v>
      </c>
      <c r="DT16" s="54">
        <f t="shared" si="180"/>
        <v>0</v>
      </c>
      <c r="DU16" s="128">
        <f t="shared" si="181"/>
        <v>0</v>
      </c>
      <c r="DV16" s="77" t="s">
        <v>8</v>
      </c>
      <c r="DW16" s="31" t="s">
        <v>8</v>
      </c>
      <c r="DX16" s="36">
        <f t="shared" si="182"/>
        <v>0.73596949377369392</v>
      </c>
      <c r="DY16" s="34">
        <f t="shared" si="183"/>
        <v>-2.0341699844778072E-3</v>
      </c>
      <c r="DZ16" s="35">
        <f t="shared" si="184"/>
        <v>0</v>
      </c>
      <c r="EA16" s="81">
        <f t="shared" si="185"/>
        <v>0</v>
      </c>
      <c r="EB16" s="77" t="s">
        <v>8</v>
      </c>
      <c r="EC16" s="31" t="s">
        <v>8</v>
      </c>
      <c r="ED16" s="36">
        <f t="shared" si="186"/>
        <v>0.73596949377369392</v>
      </c>
      <c r="EE16" s="34">
        <f t="shared" si="187"/>
        <v>-2.0341699844778072E-3</v>
      </c>
      <c r="EF16" s="35">
        <f t="shared" si="188"/>
        <v>0</v>
      </c>
      <c r="EG16" s="81">
        <f t="shared" si="189"/>
        <v>0</v>
      </c>
      <c r="EH16" s="77" t="s">
        <v>8</v>
      </c>
      <c r="EI16" s="31" t="s">
        <v>8</v>
      </c>
      <c r="EJ16" s="36">
        <f t="shared" si="190"/>
        <v>0.73596949377369392</v>
      </c>
      <c r="EK16" s="34">
        <f t="shared" si="191"/>
        <v>-2.0341699844778072E-3</v>
      </c>
      <c r="EL16" s="35">
        <f t="shared" si="192"/>
        <v>0</v>
      </c>
      <c r="EM16" s="81">
        <f t="shared" si="193"/>
        <v>0</v>
      </c>
      <c r="EN16" s="77" t="s">
        <v>8</v>
      </c>
      <c r="EO16" s="31" t="s">
        <v>8</v>
      </c>
      <c r="EP16" s="36">
        <f t="shared" si="194"/>
        <v>0.73596949377369392</v>
      </c>
      <c r="EQ16" s="34">
        <f t="shared" si="195"/>
        <v>-2.0341699844778072E-3</v>
      </c>
      <c r="ER16" s="35">
        <f t="shared" si="196"/>
        <v>0</v>
      </c>
      <c r="ES16" s="81">
        <f t="shared" si="197"/>
        <v>0</v>
      </c>
      <c r="ET16" s="77" t="s">
        <v>8</v>
      </c>
      <c r="EU16" s="31" t="s">
        <v>8</v>
      </c>
      <c r="EV16" s="36">
        <f t="shared" si="198"/>
        <v>0.73596949377369392</v>
      </c>
      <c r="EW16" s="34">
        <f t="shared" si="199"/>
        <v>-2.0341699844778072E-3</v>
      </c>
      <c r="EX16" s="35">
        <f t="shared" si="200"/>
        <v>0</v>
      </c>
      <c r="EY16" s="81">
        <f t="shared" si="201"/>
        <v>0</v>
      </c>
      <c r="EZ16" s="77" t="s">
        <v>8</v>
      </c>
      <c r="FA16" s="31" t="s">
        <v>8</v>
      </c>
      <c r="FB16" s="36">
        <f t="shared" si="202"/>
        <v>0.73596949377369392</v>
      </c>
      <c r="FC16" s="34">
        <f t="shared" si="203"/>
        <v>-2.0341699844778072E-3</v>
      </c>
      <c r="FD16" s="35">
        <f t="shared" si="204"/>
        <v>0</v>
      </c>
      <c r="FE16" s="81">
        <f t="shared" si="205"/>
        <v>0</v>
      </c>
      <c r="FF16" s="77" t="s">
        <v>8</v>
      </c>
      <c r="FG16" s="31" t="s">
        <v>8</v>
      </c>
      <c r="FH16" s="36">
        <f t="shared" si="206"/>
        <v>0.73596949377369392</v>
      </c>
      <c r="FI16" s="34">
        <f t="shared" si="207"/>
        <v>-2.0341699844778072E-3</v>
      </c>
      <c r="FJ16" s="35">
        <f t="shared" si="208"/>
        <v>0</v>
      </c>
      <c r="FK16" s="81">
        <f t="shared" si="209"/>
        <v>0</v>
      </c>
      <c r="FL16" s="77" t="s">
        <v>8</v>
      </c>
      <c r="FM16" s="31" t="s">
        <v>8</v>
      </c>
      <c r="FN16" s="36">
        <f t="shared" si="210"/>
        <v>0.73596949377369392</v>
      </c>
      <c r="FO16" s="34">
        <f t="shared" si="211"/>
        <v>-2.0341699844778072E-3</v>
      </c>
      <c r="FP16" s="35">
        <f t="shared" si="212"/>
        <v>0</v>
      </c>
      <c r="FQ16" s="81">
        <f t="shared" si="213"/>
        <v>0</v>
      </c>
      <c r="FR16" s="77" t="s">
        <v>8</v>
      </c>
      <c r="FS16" s="31" t="s">
        <v>8</v>
      </c>
      <c r="FT16" s="36">
        <f t="shared" si="214"/>
        <v>0.73596949377369392</v>
      </c>
      <c r="FU16" s="34">
        <f t="shared" si="215"/>
        <v>-2.0341699844778072E-3</v>
      </c>
      <c r="FV16" s="35">
        <f t="shared" si="216"/>
        <v>0</v>
      </c>
      <c r="FW16" s="81">
        <f t="shared" si="217"/>
        <v>0</v>
      </c>
      <c r="FX16" s="77" t="s">
        <v>8</v>
      </c>
      <c r="FY16" s="31" t="s">
        <v>8</v>
      </c>
      <c r="FZ16" s="36">
        <f t="shared" si="218"/>
        <v>0.73596949377369392</v>
      </c>
      <c r="GA16" s="34">
        <f t="shared" si="219"/>
        <v>-2.0341699844778072E-3</v>
      </c>
      <c r="GB16" s="35">
        <f t="shared" si="220"/>
        <v>0</v>
      </c>
      <c r="GC16" s="81">
        <f t="shared" si="221"/>
        <v>0</v>
      </c>
      <c r="GD16" s="77" t="s">
        <v>8</v>
      </c>
      <c r="GE16" s="31" t="s">
        <v>8</v>
      </c>
      <c r="GF16" s="36">
        <f t="shared" si="222"/>
        <v>0.73596949377369392</v>
      </c>
      <c r="GG16" s="34">
        <f t="shared" si="223"/>
        <v>-2.0341699844778072E-3</v>
      </c>
      <c r="GH16" s="35">
        <f t="shared" si="224"/>
        <v>0</v>
      </c>
      <c r="GI16" s="128">
        <f t="shared" si="225"/>
        <v>0</v>
      </c>
      <c r="GJ16" s="161">
        <f t="shared" si="228"/>
        <v>1514932.4149052156</v>
      </c>
      <c r="GK16" s="100">
        <f t="shared" si="226"/>
        <v>2088751.5906692538</v>
      </c>
      <c r="GL16" s="87">
        <f t="shared" si="227"/>
        <v>0.73596949377369392</v>
      </c>
    </row>
    <row r="17" spans="1:195" s="30" customFormat="1" ht="16.5" thickBot="1">
      <c r="A17" s="104" t="s">
        <v>6</v>
      </c>
      <c r="B17" s="125">
        <v>17499431</v>
      </c>
      <c r="C17" s="122">
        <v>43.5</v>
      </c>
      <c r="D17" s="82">
        <f>B17*C17/100</f>
        <v>7612252.4850000003</v>
      </c>
      <c r="E17" s="111">
        <f>100-C17</f>
        <v>56.5</v>
      </c>
      <c r="F17" s="82">
        <f>B17-D17</f>
        <v>9887178.5150000006</v>
      </c>
      <c r="G17" s="110">
        <f>SUM(G9:G16)</f>
        <v>9777</v>
      </c>
      <c r="H17" s="110">
        <f>SUM(H9:H16)</f>
        <v>8783930</v>
      </c>
      <c r="I17" s="46" t="s">
        <v>8</v>
      </c>
      <c r="J17" s="168">
        <f>H17/G17</f>
        <v>898.42794313184004</v>
      </c>
      <c r="K17" s="121" t="s">
        <v>8</v>
      </c>
      <c r="L17" s="79">
        <f>SUM(L9:L16)</f>
        <v>7612252.4850000013</v>
      </c>
      <c r="M17" s="75" t="s">
        <v>8</v>
      </c>
      <c r="N17" s="47">
        <f>(SUMIF(M9:M16,"&lt;1")+1)/(COUNTIFS(M9:M16,"&lt;1")+1)</f>
        <v>0.4037440781037383</v>
      </c>
      <c r="O17" s="48" t="s">
        <v>8</v>
      </c>
      <c r="P17" s="45">
        <f>SUM(P9:P16)</f>
        <v>6075678.2101745503</v>
      </c>
      <c r="Q17" s="45">
        <f>SUM(Q9:Q16)</f>
        <v>6075678.2101745503</v>
      </c>
      <c r="R17" s="88">
        <f>F17-Q17</f>
        <v>3811500.3048254503</v>
      </c>
      <c r="S17" s="47">
        <f>(SUMIF(T9:T16,"&lt;1")+1)/(COUNTIFS(T9:T16,"&lt;1")+1)</f>
        <v>0.60913137804391437</v>
      </c>
      <c r="T17" s="48" t="s">
        <v>8</v>
      </c>
      <c r="U17" s="48" t="s">
        <v>8</v>
      </c>
      <c r="V17" s="45">
        <f>SUM(V9:V16)</f>
        <v>5030833.9454872115</v>
      </c>
      <c r="W17" s="45">
        <f>SUM(W9:W16)</f>
        <v>3811500.3048254503</v>
      </c>
      <c r="X17" s="88">
        <f>R17-W17</f>
        <v>0</v>
      </c>
      <c r="Y17" s="47">
        <f>(SUMIF(Z9:Z16,"&lt;1")+1)/(COUNTIFS(Z9:Z16,"&lt;1")+1)</f>
        <v>0.73393532378921611</v>
      </c>
      <c r="Z17" s="48" t="s">
        <v>8</v>
      </c>
      <c r="AA17" s="48" t="s">
        <v>8</v>
      </c>
      <c r="AB17" s="45">
        <f>SUM(AB9:AB16)</f>
        <v>3205883.7712754603</v>
      </c>
      <c r="AC17" s="45">
        <f>SUM(AC9:AC16)</f>
        <v>0</v>
      </c>
      <c r="AD17" s="88">
        <f>X17-AC17</f>
        <v>0</v>
      </c>
      <c r="AE17" s="47">
        <f>(SUMIF(AF9:AF16,"&lt;1")+1)/(COUNTIFS(AF9:AF16,"&lt;1")+1)</f>
        <v>0.73393532378921611</v>
      </c>
      <c r="AF17" s="48" t="s">
        <v>8</v>
      </c>
      <c r="AG17" s="48" t="s">
        <v>8</v>
      </c>
      <c r="AH17" s="45">
        <f>SUM(AH9:AH16)</f>
        <v>3205883.7712754603</v>
      </c>
      <c r="AI17" s="45">
        <f>SUM(AI9:AI16)</f>
        <v>0</v>
      </c>
      <c r="AJ17" s="88">
        <f>AD17-AI17</f>
        <v>0</v>
      </c>
      <c r="AK17" s="47">
        <f>(SUMIF(AL9:AL16,"&lt;1")+1)/(COUNTIFS(AL9:AL16,"&lt;1")+1)</f>
        <v>0.73393532378921611</v>
      </c>
      <c r="AL17" s="48" t="s">
        <v>8</v>
      </c>
      <c r="AM17" s="48" t="s">
        <v>8</v>
      </c>
      <c r="AN17" s="45">
        <f>SUM(AN9:AN16)</f>
        <v>3205883.7712754603</v>
      </c>
      <c r="AO17" s="45">
        <f>SUM(AO9:AO16)</f>
        <v>0</v>
      </c>
      <c r="AP17" s="88">
        <f>AJ17-AO17</f>
        <v>0</v>
      </c>
      <c r="AQ17" s="47">
        <f>(SUMIF(AR9:AR16,"&lt;1")+1)/(COUNTIFS(AR9:AR16,"&lt;1")+1)</f>
        <v>0.73393532378921611</v>
      </c>
      <c r="AR17" s="48" t="s">
        <v>8</v>
      </c>
      <c r="AS17" s="48" t="s">
        <v>8</v>
      </c>
      <c r="AT17" s="45">
        <f>SUM(AT9:AT16)</f>
        <v>3205883.7712754603</v>
      </c>
      <c r="AU17" s="82">
        <f>SUM(AU9:AU16)</f>
        <v>0</v>
      </c>
      <c r="AV17" s="88">
        <f>AP17-AU17</f>
        <v>0</v>
      </c>
      <c r="AW17" s="47">
        <f>(SUMIF(AX9:AX16,"&lt;1")+1)/(COUNTIFS(AX9:AX16,"&lt;1")+1)</f>
        <v>0.73393532378921611</v>
      </c>
      <c r="AX17" s="48" t="s">
        <v>8</v>
      </c>
      <c r="AY17" s="48" t="s">
        <v>8</v>
      </c>
      <c r="AZ17" s="45">
        <f>SUM(AZ9:AZ16)</f>
        <v>3205883.7712754603</v>
      </c>
      <c r="BA17" s="45">
        <f>SUM(BA9:BA16)</f>
        <v>0</v>
      </c>
      <c r="BB17" s="88">
        <f>AV17-BA17</f>
        <v>0</v>
      </c>
      <c r="BC17" s="47">
        <f>(SUMIF(BD9:BD16,"&lt;1")+1)/(COUNTIFS(BD9:BD16,"&lt;1")+1)</f>
        <v>0.73393532378921611</v>
      </c>
      <c r="BD17" s="48" t="s">
        <v>8</v>
      </c>
      <c r="BE17" s="48" t="s">
        <v>8</v>
      </c>
      <c r="BF17" s="45">
        <f>SUM(BF9:BF16)</f>
        <v>3205883.7712754603</v>
      </c>
      <c r="BG17" s="45">
        <f>SUM(BG9:BG16)</f>
        <v>0</v>
      </c>
      <c r="BH17" s="88">
        <f>BB17-BG17</f>
        <v>0</v>
      </c>
      <c r="BI17" s="47">
        <f>(SUMIF(BJ9:BJ16,"&lt;1")+1)/(COUNTIFS(BJ9:BJ16,"&lt;1")+1)</f>
        <v>0.73393532378921611</v>
      </c>
      <c r="BJ17" s="48" t="s">
        <v>8</v>
      </c>
      <c r="BK17" s="48" t="s">
        <v>8</v>
      </c>
      <c r="BL17" s="45">
        <f>SUM(BL9:BL16)</f>
        <v>3205883.7712754603</v>
      </c>
      <c r="BM17" s="45">
        <f>SUM(BM9:BM16)</f>
        <v>0</v>
      </c>
      <c r="BN17" s="88">
        <f>BH17-BM17</f>
        <v>0</v>
      </c>
      <c r="BO17" s="47">
        <f>(SUMIF(BP9:BP16,"&lt;1")+1)/(COUNTIFS(BP9:BP16,"&lt;1")+1)</f>
        <v>0.73393532378921611</v>
      </c>
      <c r="BP17" s="48" t="s">
        <v>8</v>
      </c>
      <c r="BQ17" s="48" t="s">
        <v>8</v>
      </c>
      <c r="BR17" s="45">
        <f>SUM(BR9:BR16)</f>
        <v>3205883.7712754603</v>
      </c>
      <c r="BS17" s="45">
        <f>SUM(BS9:BS16)</f>
        <v>0</v>
      </c>
      <c r="BT17" s="88">
        <f>BN17-BS17</f>
        <v>0</v>
      </c>
      <c r="BU17" s="47">
        <f>(SUMIF(BV9:BV16,"&lt;1")+1)/(COUNTIFS(BV9:BV16,"&lt;1")+1)</f>
        <v>0.73393532378921611</v>
      </c>
      <c r="BV17" s="48" t="s">
        <v>8</v>
      </c>
      <c r="BW17" s="48" t="s">
        <v>8</v>
      </c>
      <c r="BX17" s="45">
        <f>SUM(BX9:BX16)</f>
        <v>3205883.7712754603</v>
      </c>
      <c r="BY17" s="45">
        <f>SUM(BY9:BY16)</f>
        <v>0</v>
      </c>
      <c r="BZ17" s="88">
        <f>BT17-BY17</f>
        <v>0</v>
      </c>
      <c r="CA17" s="47">
        <f>(SUMIF(CB9:CB16,"&lt;1")+1)/(COUNTIFS(CB9:CB16,"&lt;1")+1)</f>
        <v>0.73393532378921611</v>
      </c>
      <c r="CB17" s="48" t="s">
        <v>8</v>
      </c>
      <c r="CC17" s="48" t="s">
        <v>8</v>
      </c>
      <c r="CD17" s="45">
        <f>SUM(CD9:CD16)</f>
        <v>3205883.7712754603</v>
      </c>
      <c r="CE17" s="45">
        <f>SUM(CE9:CE16)</f>
        <v>0</v>
      </c>
      <c r="CF17" s="88">
        <f>BZ17-CE17</f>
        <v>0</v>
      </c>
      <c r="CG17" s="47">
        <f>(SUMIF(CH9:CH16,"&lt;1")+1)/(COUNTIFS(CH9:CH16,"&lt;1")+1)</f>
        <v>0.73393532378921611</v>
      </c>
      <c r="CH17" s="48" t="s">
        <v>8</v>
      </c>
      <c r="CI17" s="48" t="s">
        <v>8</v>
      </c>
      <c r="CJ17" s="45">
        <f>SUM(CJ9:CJ16)</f>
        <v>3205883.7712754603</v>
      </c>
      <c r="CK17" s="45">
        <f>SUM(CK9:CK16)</f>
        <v>0</v>
      </c>
      <c r="CL17" s="88">
        <f>CF17-CK17</f>
        <v>0</v>
      </c>
      <c r="CM17" s="47">
        <f>(SUMIF(CN9:CN16,"&lt;1")+1)/(COUNTIFS(CN9:CN16,"&lt;1")+1)</f>
        <v>0.73393532378921611</v>
      </c>
      <c r="CN17" s="48" t="s">
        <v>8</v>
      </c>
      <c r="CO17" s="48" t="s">
        <v>8</v>
      </c>
      <c r="CP17" s="45">
        <f>SUM(CP9:CP16)</f>
        <v>3205883.7712754603</v>
      </c>
      <c r="CQ17" s="45">
        <f>SUM(CQ9:CQ16)</f>
        <v>0</v>
      </c>
      <c r="CR17" s="88">
        <f>CL17-CQ17</f>
        <v>0</v>
      </c>
      <c r="CS17" s="47">
        <f>(SUMIF(CT9:CT16,"&lt;1")+1)/(COUNTIFS(CT9:CT16,"&lt;1")+1)</f>
        <v>0.73393532378921611</v>
      </c>
      <c r="CT17" s="48" t="s">
        <v>8</v>
      </c>
      <c r="CU17" s="48" t="s">
        <v>8</v>
      </c>
      <c r="CV17" s="45">
        <f>SUM(CV9:CV16)</f>
        <v>3205883.7712754603</v>
      </c>
      <c r="CW17" s="45">
        <f>SUM(CW9:CW16)</f>
        <v>0</v>
      </c>
      <c r="CX17" s="88">
        <f>CR17-CW17</f>
        <v>0</v>
      </c>
      <c r="CY17" s="47">
        <f>(SUMIF(CZ9:CZ16,"&lt;1")+1)/(COUNTIFS(CZ9:CZ16,"&lt;1")+1)</f>
        <v>0.73393532378921611</v>
      </c>
      <c r="CZ17" s="48" t="s">
        <v>8</v>
      </c>
      <c r="DA17" s="48" t="s">
        <v>8</v>
      </c>
      <c r="DB17" s="45">
        <f>SUM(DB9:DB16)</f>
        <v>3205883.7712754603</v>
      </c>
      <c r="DC17" s="45">
        <f>SUM(DC9:DC16)</f>
        <v>0</v>
      </c>
      <c r="DD17" s="88">
        <f>CX17-DC17</f>
        <v>0</v>
      </c>
      <c r="DE17" s="47">
        <f>(SUMIF(DF9:DF16,"&lt;1")+1)/(COUNTIFS(DF9:DF16,"&lt;1")+1)</f>
        <v>0.73393532378921611</v>
      </c>
      <c r="DF17" s="48" t="s">
        <v>8</v>
      </c>
      <c r="DG17" s="48" t="s">
        <v>8</v>
      </c>
      <c r="DH17" s="45">
        <f>SUM(DH9:DH16)</f>
        <v>3205883.7712754603</v>
      </c>
      <c r="DI17" s="45">
        <f>SUM(DI9:DI16)</f>
        <v>0</v>
      </c>
      <c r="DJ17" s="88">
        <f>DD17-DI17</f>
        <v>0</v>
      </c>
      <c r="DK17" s="47">
        <f>(SUMIF(DL9:DL16,"&lt;1")+1)/(COUNTIFS(DL9:DL16,"&lt;1")+1)</f>
        <v>0.73393532378921611</v>
      </c>
      <c r="DL17" s="48" t="s">
        <v>8</v>
      </c>
      <c r="DM17" s="48" t="s">
        <v>8</v>
      </c>
      <c r="DN17" s="45">
        <f>SUM(DN9:DN16)</f>
        <v>3205883.7712754603</v>
      </c>
      <c r="DO17" s="45">
        <f>SUM(DO9:DO16)</f>
        <v>0</v>
      </c>
      <c r="DP17" s="88">
        <f>DJ17-DO17</f>
        <v>0</v>
      </c>
      <c r="DQ17" s="47">
        <f>(SUMIF(DR9:DR16,"&lt;1")+1)/(COUNTIFS(DR9:DR16,"&lt;1")+1)</f>
        <v>0.73393532378921611</v>
      </c>
      <c r="DR17" s="48" t="s">
        <v>8</v>
      </c>
      <c r="DS17" s="48" t="s">
        <v>8</v>
      </c>
      <c r="DT17" s="45">
        <f>SUM(DT9:DT16)</f>
        <v>3205883.7712754603</v>
      </c>
      <c r="DU17" s="45">
        <f>SUM(DU9:DU16)</f>
        <v>0</v>
      </c>
      <c r="DV17" s="88">
        <f>DP17-DU17</f>
        <v>0</v>
      </c>
      <c r="DW17" s="47">
        <f>(SUMIF(DX9:DX16,"&lt;1")+1)/(COUNTIFS(DX9:DX16,"&lt;1")+1)</f>
        <v>0.73393532378921611</v>
      </c>
      <c r="DX17" s="48" t="s">
        <v>8</v>
      </c>
      <c r="DY17" s="48" t="s">
        <v>8</v>
      </c>
      <c r="DZ17" s="147">
        <f>SUM(DZ9:DZ16)</f>
        <v>3205883.7712754603</v>
      </c>
      <c r="EA17" s="45">
        <f>SUM(EA9:EA16)</f>
        <v>0</v>
      </c>
      <c r="EB17" s="88">
        <f>DV17-EA17</f>
        <v>0</v>
      </c>
      <c r="EC17" s="47">
        <f>(SUMIF(ED9:ED16,"&lt;1")+1)/(COUNTIFS(ED9:ED16,"&lt;1")+1)</f>
        <v>0.73393532378921611</v>
      </c>
      <c r="ED17" s="48" t="s">
        <v>8</v>
      </c>
      <c r="EE17" s="48" t="s">
        <v>8</v>
      </c>
      <c r="EF17" s="147">
        <f>SUM(EF9:EF16)</f>
        <v>3205883.7712754603</v>
      </c>
      <c r="EG17" s="45">
        <f>SUM(EG9:EG16)</f>
        <v>0</v>
      </c>
      <c r="EH17" s="88">
        <f>EB17-EG17</f>
        <v>0</v>
      </c>
      <c r="EI17" s="47">
        <f>(SUMIF(EJ9:EJ16,"&lt;1")+1)/(COUNTIFS(EJ9:EJ16,"&lt;1")+1)</f>
        <v>0.73393532378921611</v>
      </c>
      <c r="EJ17" s="48" t="s">
        <v>8</v>
      </c>
      <c r="EK17" s="48" t="s">
        <v>8</v>
      </c>
      <c r="EL17" s="147">
        <f>SUM(EL9:EL16)</f>
        <v>3205883.7712754603</v>
      </c>
      <c r="EM17" s="45">
        <f>SUM(EM9:EM16)</f>
        <v>0</v>
      </c>
      <c r="EN17" s="88">
        <f>EH17-EM17</f>
        <v>0</v>
      </c>
      <c r="EO17" s="47">
        <f>(SUMIF(EP9:EP16,"&lt;1")+1)/(COUNTIFS(EP9:EP16,"&lt;1")+1)</f>
        <v>0.73393532378921611</v>
      </c>
      <c r="EP17" s="48" t="s">
        <v>8</v>
      </c>
      <c r="EQ17" s="48" t="s">
        <v>8</v>
      </c>
      <c r="ER17" s="147">
        <f>SUM(ER9:ER16)</f>
        <v>3205883.7712754603</v>
      </c>
      <c r="ES17" s="45">
        <f>SUM(ES9:ES16)</f>
        <v>0</v>
      </c>
      <c r="ET17" s="88">
        <f>EN17-ES17</f>
        <v>0</v>
      </c>
      <c r="EU17" s="47">
        <f>(SUMIF(EV9:EV16,"&lt;1")+1)/(COUNTIFS(EV9:EV16,"&lt;1")+1)</f>
        <v>0.73393532378921611</v>
      </c>
      <c r="EV17" s="48" t="s">
        <v>8</v>
      </c>
      <c r="EW17" s="48" t="s">
        <v>8</v>
      </c>
      <c r="EX17" s="147">
        <f>SUM(EX9:EX16)</f>
        <v>3205883.7712754603</v>
      </c>
      <c r="EY17" s="45">
        <f>SUM(EY9:EY16)</f>
        <v>0</v>
      </c>
      <c r="EZ17" s="88">
        <f>ET17-EY17</f>
        <v>0</v>
      </c>
      <c r="FA17" s="47">
        <f>(SUMIF(FB9:FB16,"&lt;1")+1)/(COUNTIFS(FB9:FB16,"&lt;1")+1)</f>
        <v>0.73393532378921611</v>
      </c>
      <c r="FB17" s="48" t="s">
        <v>8</v>
      </c>
      <c r="FC17" s="48" t="s">
        <v>8</v>
      </c>
      <c r="FD17" s="147">
        <f>SUM(FD9:FD16)</f>
        <v>3205883.7712754603</v>
      </c>
      <c r="FE17" s="45">
        <f>SUM(FE9:FE16)</f>
        <v>0</v>
      </c>
      <c r="FF17" s="88">
        <f>EZ17-FE17</f>
        <v>0</v>
      </c>
      <c r="FG17" s="47">
        <f>(SUMIF(FH9:FH16,"&lt;1")+1)/(COUNTIFS(FH9:FH16,"&lt;1")+1)</f>
        <v>0.73393532378921611</v>
      </c>
      <c r="FH17" s="48" t="s">
        <v>8</v>
      </c>
      <c r="FI17" s="48" t="s">
        <v>8</v>
      </c>
      <c r="FJ17" s="147">
        <f>SUM(FJ9:FJ16)</f>
        <v>3205883.7712754603</v>
      </c>
      <c r="FK17" s="45">
        <f>SUM(FK9:FK16)</f>
        <v>0</v>
      </c>
      <c r="FL17" s="88">
        <f>FF17-FK17</f>
        <v>0</v>
      </c>
      <c r="FM17" s="47">
        <f>(SUMIF(FN9:FN16,"&lt;1")+1)/(COUNTIFS(FN9:FN16,"&lt;1")+1)</f>
        <v>0.73393532378921611</v>
      </c>
      <c r="FN17" s="48" t="s">
        <v>8</v>
      </c>
      <c r="FO17" s="48" t="s">
        <v>8</v>
      </c>
      <c r="FP17" s="147">
        <f>SUM(FP9:FP16)</f>
        <v>3205883.7712754603</v>
      </c>
      <c r="FQ17" s="45">
        <f>SUM(FQ9:FQ16)</f>
        <v>0</v>
      </c>
      <c r="FR17" s="88">
        <f>FL17-FQ17</f>
        <v>0</v>
      </c>
      <c r="FS17" s="47">
        <f>(SUMIF(FT9:FT16,"&lt;1")+1)/(COUNTIFS(FT9:FT16,"&lt;1")+1)</f>
        <v>0.73393532378921611</v>
      </c>
      <c r="FT17" s="48" t="s">
        <v>8</v>
      </c>
      <c r="FU17" s="48" t="s">
        <v>8</v>
      </c>
      <c r="FV17" s="147">
        <f>SUM(FV9:FV16)</f>
        <v>3205883.7712754603</v>
      </c>
      <c r="FW17" s="45">
        <f>SUM(FW9:FW16)</f>
        <v>0</v>
      </c>
      <c r="FX17" s="88">
        <f>FR17-FW17</f>
        <v>0</v>
      </c>
      <c r="FY17" s="47">
        <f>(SUMIF(FZ9:FZ16,"&lt;1")+1)/(COUNTIFS(FZ9:FZ16,"&lt;1")+1)</f>
        <v>0.73393532378921611</v>
      </c>
      <c r="FZ17" s="48" t="s">
        <v>8</v>
      </c>
      <c r="GA17" s="48" t="s">
        <v>8</v>
      </c>
      <c r="GB17" s="147">
        <f>SUM(GB9:GB16)</f>
        <v>3205883.7712754603</v>
      </c>
      <c r="GC17" s="45">
        <f>SUM(GC9:GC16)</f>
        <v>0</v>
      </c>
      <c r="GD17" s="88">
        <f>FX17-GC17</f>
        <v>0</v>
      </c>
      <c r="GE17" s="47">
        <f>(SUMIF(GF9:GF16,"&lt;1")+1)/(COUNTIFS(GF9:GF16,"&lt;1")+1)</f>
        <v>0.73393532378921611</v>
      </c>
      <c r="GF17" s="48" t="s">
        <v>8</v>
      </c>
      <c r="GG17" s="48" t="s">
        <v>8</v>
      </c>
      <c r="GH17" s="147">
        <f>SUM(GH9:GH16)</f>
        <v>3205883.7712754603</v>
      </c>
      <c r="GI17" s="45">
        <f>SUM(GI9:GI16)</f>
        <v>0</v>
      </c>
      <c r="GJ17" s="174">
        <f>SUM(GJ9:GJ16)</f>
        <v>9887178.5150000006</v>
      </c>
      <c r="GK17" s="176">
        <f t="shared" si="226"/>
        <v>17499431</v>
      </c>
      <c r="GL17" s="177" t="s">
        <v>8</v>
      </c>
      <c r="GM17" s="26"/>
    </row>
    <row r="19" spans="1:195">
      <c r="P19" s="25"/>
    </row>
    <row r="21" spans="1:195">
      <c r="GJ21" s="129"/>
      <c r="GK21" s="129"/>
    </row>
    <row r="22" spans="1:195">
      <c r="M22" s="24"/>
    </row>
  </sheetData>
  <protectedRanges>
    <protectedRange sqref="A9:A16" name="Диапазон3_1"/>
    <protectedRange sqref="A9:A16" name="Диапазон2_1"/>
  </protectedRanges>
  <mergeCells count="48"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559055118110237" right="0.15748031496062992" top="0.39370078740157483" bottom="0.15748031496062992" header="0.74803149606299213" footer="0.23622047244094491"/>
  <pageSetup paperSize="9" scale="10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 2026</vt:lpstr>
      <vt:lpstr>Расчет КРП</vt:lpstr>
      <vt:lpstr>Расчет дотации 2026</vt:lpstr>
      <vt:lpstr>'Исходные данные 2026'!Excel_BuiltIn_Print_Titles</vt:lpstr>
      <vt:lpstr>'Исходные данные 2026'!Z_287B6B75_F102_4A35_99B4_72102AA4A344__wvu_FilterData</vt:lpstr>
      <vt:lpstr>'Исходные данные 2026'!Z_287B6B75_F102_4A35_99B4_72102AA4A344__wvu_PrintArea</vt:lpstr>
      <vt:lpstr>'Исходные данные 2026'!Z_287B6B75_F102_4A35_99B4_72102AA4A344__wvu_PrintTitles</vt:lpstr>
      <vt:lpstr>'Расчет дотации 2026'!Z_287B6B75_F102_4A35_99B4_72102AA4A344__wvu_PrintTitles</vt:lpstr>
      <vt:lpstr>'Исходные данные 2026'!Заголовки_для_печати</vt:lpstr>
      <vt:lpstr>'Расчет дотации 2026'!Заголовки_для_печати</vt:lpstr>
      <vt:lpstr>'Исходные данные 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ADMIN</cp:lastModifiedBy>
  <cp:lastPrinted>2024-10-09T08:54:28Z</cp:lastPrinted>
  <dcterms:created xsi:type="dcterms:W3CDTF">2013-11-15T09:40:24Z</dcterms:created>
  <dcterms:modified xsi:type="dcterms:W3CDTF">2024-10-09T08:54:33Z</dcterms:modified>
</cp:coreProperties>
</file>